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7" activeTab="3"/>
  </bookViews>
  <sheets>
    <sheet name="Krycí list" sheetId="1" r:id="rId1"/>
    <sheet name="Pokyny pro práci s výkazem" sheetId="2" r:id="rId2"/>
    <sheet name="Rekapitulace PPP a SPC" sheetId="3" r:id="rId3"/>
    <sheet name="Položky PPP a SPC" sheetId="4" r:id="rId4"/>
    <sheet name="Rekapitulace psycho+archiv" sheetId="5" r:id="rId5"/>
    <sheet name="Položky psycho+archiv" sheetId="6" r:id="rId6"/>
    <sheet name="Rekapitulace PZTS a EVS" sheetId="7" r:id="rId7"/>
    <sheet name="Položky PZTS" sheetId="8" r:id="rId8"/>
    <sheet name="Položky EVS" sheetId="9" r:id="rId9"/>
  </sheets>
  <definedNames>
    <definedName name="_xlnm_Print_Area" localSheetId="3">'Položky PPP a SPC'!#REF!</definedName>
    <definedName name="_xlnm_Print_Area_0" localSheetId="3">'Položky PPP a SPC'!#REF!</definedName>
    <definedName name="_xlnm_Print_Area_0_0" localSheetId="3">'Položky PPP a SPC'!#REF!</definedName>
    <definedName name="Excel_BuiltIn_Print_Area" localSheetId="3">'Položky PPP a SPC'!#REF!</definedName>
    <definedName name="_xlnm.Print_Area" localSheetId="3">'Položky PPP a SPC'!$A$1:$G$1363</definedName>
    <definedName name="_xlnm.Print_Area" localSheetId="5">'Položky psycho+archiv'!$A$1:$G$644</definedName>
  </definedNames>
  <calcPr fullCalcOnLoad="1"/>
</workbook>
</file>

<file path=xl/sharedStrings.xml><?xml version="1.0" encoding="utf-8"?>
<sst xmlns="http://schemas.openxmlformats.org/spreadsheetml/2006/main" count="3775" uniqueCount="1466">
  <si>
    <t>Stavba :</t>
  </si>
  <si>
    <t>SOUHRNNÝ LIST</t>
  </si>
  <si>
    <t>Prostory PPP a SPC</t>
  </si>
  <si>
    <t>celkem bez DPH</t>
  </si>
  <si>
    <t>Cena celkem bez DPH</t>
  </si>
  <si>
    <t xml:space="preserve"> </t>
  </si>
  <si>
    <t xml:space="preserve">DPH </t>
  </si>
  <si>
    <t>z částky</t>
  </si>
  <si>
    <t>Cena celkem s DPH</t>
  </si>
  <si>
    <t>Datum:</t>
  </si>
  <si>
    <t>Vypracoval:</t>
  </si>
  <si>
    <t>Ing. Ivan Dolejš</t>
  </si>
  <si>
    <t>Stavební díl</t>
  </si>
  <si>
    <t>Celkem za kapitolu (Kč)</t>
  </si>
  <si>
    <t>Svislé a kompletní  konstrukce a sádrokartony</t>
  </si>
  <si>
    <t>Vodorovné konstrukce</t>
  </si>
  <si>
    <t>Úpravy povrchů vnitřní</t>
  </si>
  <si>
    <t>Úpravy povrchů vnější</t>
  </si>
  <si>
    <t>Podlahy a podlahové konstrukce</t>
  </si>
  <si>
    <t>Lešení a ostatní práce</t>
  </si>
  <si>
    <t>Bourací práce</t>
  </si>
  <si>
    <t>Izolace proti vodě</t>
  </si>
  <si>
    <t>Izolace tepelné</t>
  </si>
  <si>
    <t>Vnitřní kanalizace</t>
  </si>
  <si>
    <t>Vnitřní vodovod</t>
  </si>
  <si>
    <t>Zařizovací předměty</t>
  </si>
  <si>
    <t>Rozvod potrubí</t>
  </si>
  <si>
    <t>Armatury</t>
  </si>
  <si>
    <t>Otopná tělesa</t>
  </si>
  <si>
    <t>Truhlářské konstrukce</t>
  </si>
  <si>
    <t>Zámečnické konstrukce</t>
  </si>
  <si>
    <t>Podlahy z dlaždic keramických</t>
  </si>
  <si>
    <t>Podlahy povlakové</t>
  </si>
  <si>
    <t>Obklady keramické, pórovinové</t>
  </si>
  <si>
    <t>Malby,nátěry</t>
  </si>
  <si>
    <t>M21</t>
  </si>
  <si>
    <t>Elektroinstalace -kabeláž -montáže</t>
  </si>
  <si>
    <t>M22</t>
  </si>
  <si>
    <t>Elektroinstalace -datový rozvaděč -montáže</t>
  </si>
  <si>
    <t>M23</t>
  </si>
  <si>
    <t>Elektroinstalace -podružný rozvaděč -montáže</t>
  </si>
  <si>
    <t>M24</t>
  </si>
  <si>
    <t>Elektroinstalace -přístroje -montáže</t>
  </si>
  <si>
    <t>M25</t>
  </si>
  <si>
    <t>Elektroinstalace -trasování -montáže</t>
  </si>
  <si>
    <t>M26</t>
  </si>
  <si>
    <t>Elektroinstalace -ostatní -montáže</t>
  </si>
  <si>
    <t>M27</t>
  </si>
  <si>
    <t>Elektroinstalace -osvětlovací zařízení svítidla -montáže</t>
  </si>
  <si>
    <t>M21D</t>
  </si>
  <si>
    <t>Elektroinstalace -kabeláž -dodávka</t>
  </si>
  <si>
    <t>M22D</t>
  </si>
  <si>
    <t>Elektroinstalace -datový rozvaděč -dodávka</t>
  </si>
  <si>
    <t>M23D</t>
  </si>
  <si>
    <t>Elektroinstalace -podružný rozvaděč -dodávka</t>
  </si>
  <si>
    <t>M24D</t>
  </si>
  <si>
    <t>Elektroinstalace -přístroje -dodávka</t>
  </si>
  <si>
    <t>M25D</t>
  </si>
  <si>
    <t>Elektroinstalace -trasování -dodávka</t>
  </si>
  <si>
    <t>M26D</t>
  </si>
  <si>
    <t>Elektroinstalace -ostatní -dodávka</t>
  </si>
  <si>
    <t>M27D</t>
  </si>
  <si>
    <t>Elektroinstalace -osvětlovací zařízení svítidla -dodávka</t>
  </si>
  <si>
    <t>MVZT</t>
  </si>
  <si>
    <t>Vzduchotechnika</t>
  </si>
  <si>
    <t>Stavební část celkem</t>
  </si>
  <si>
    <t>VRN</t>
  </si>
  <si>
    <t>Vedlejší a ostatní náklady celkem</t>
  </si>
  <si>
    <t>Cena celkem (bez DPH)</t>
  </si>
  <si>
    <t>DPH 21%</t>
  </si>
  <si>
    <t xml:space="preserve">Datum: </t>
  </si>
  <si>
    <t xml:space="preserve">Vypracoval : </t>
  </si>
  <si>
    <t>Poř.č.</t>
  </si>
  <si>
    <t>Číslo položky</t>
  </si>
  <si>
    <t>Název položky</t>
  </si>
  <si>
    <t>MJ</t>
  </si>
  <si>
    <t>Množství</t>
  </si>
  <si>
    <t>Jed.cena</t>
  </si>
  <si>
    <t>Celkem (Kč)</t>
  </si>
  <si>
    <t>Svislé a kompletní konstrukce a sádrokartony</t>
  </si>
  <si>
    <t>1.</t>
  </si>
  <si>
    <t>31023-6251</t>
  </si>
  <si>
    <t>Zazdívka otvorů pl.do 0,09m2  cihlami,tl.zdi 45cm</t>
  </si>
  <si>
    <t>kus</t>
  </si>
  <si>
    <t>1.02-1.24</t>
  </si>
  <si>
    <t>28ks</t>
  </si>
  <si>
    <t>2.02-2.28</t>
  </si>
  <si>
    <t>26ks</t>
  </si>
  <si>
    <t>3.02-3.28</t>
  </si>
  <si>
    <t>18ks</t>
  </si>
  <si>
    <t>2.</t>
  </si>
  <si>
    <t>34923-1811</t>
  </si>
  <si>
    <t>Přizdívka ostění s ozubem z cihel,kapsy do 15cm</t>
  </si>
  <si>
    <t>m2</t>
  </si>
  <si>
    <t>pro osazení nových ocelových zárubní</t>
  </si>
  <si>
    <t>1.NP</t>
  </si>
  <si>
    <t>5kusů</t>
  </si>
  <si>
    <t>2.NP</t>
  </si>
  <si>
    <t>6kusů</t>
  </si>
  <si>
    <t>3.NP</t>
  </si>
  <si>
    <t>7kusů</t>
  </si>
  <si>
    <t>3.</t>
  </si>
  <si>
    <t>31712-0021</t>
  </si>
  <si>
    <t>Osazení překladů nenosných porobetonových,včtně dodávky</t>
  </si>
  <si>
    <t>ks</t>
  </si>
  <si>
    <t>1.06,1.07,1.26</t>
  </si>
  <si>
    <t>100x249x1250</t>
  </si>
  <si>
    <t>2.NP-4kusy</t>
  </si>
  <si>
    <t>4.</t>
  </si>
  <si>
    <t>34023-6212</t>
  </si>
  <si>
    <t>Zazdívka otvorů pl.0,09m2, cihlami,tl.zdi nad 10cm</t>
  </si>
  <si>
    <t>1.09a</t>
  </si>
  <si>
    <t>2ks</t>
  </si>
  <si>
    <t>5.</t>
  </si>
  <si>
    <t>34023-9212</t>
  </si>
  <si>
    <t>Zazdívka otvorů pl.4m2, cihlami,tl.zdi nad 10cm</t>
  </si>
  <si>
    <t>1.04</t>
  </si>
  <si>
    <t>1.05</t>
  </si>
  <si>
    <t>1.16</t>
  </si>
  <si>
    <t>2.12</t>
  </si>
  <si>
    <t>2.13</t>
  </si>
  <si>
    <t>2.15</t>
  </si>
  <si>
    <t>3.02</t>
  </si>
  <si>
    <t>6.</t>
  </si>
  <si>
    <t>34020-0010</t>
  </si>
  <si>
    <t>Příčka do stávajícího objektu z porobet.tvárnic</t>
  </si>
  <si>
    <t>1.06</t>
  </si>
  <si>
    <t>1.07</t>
  </si>
  <si>
    <t>1.26</t>
  </si>
  <si>
    <t>7.</t>
  </si>
  <si>
    <t>34226-1112</t>
  </si>
  <si>
    <t>Příčka sádrokart.do ocel.kce, 1xopl.tl.100mm,desky impregnované tl.12,5mm</t>
  </si>
  <si>
    <t>izolace tl.6cm</t>
  </si>
  <si>
    <t>3.14</t>
  </si>
  <si>
    <t>3.15</t>
  </si>
  <si>
    <t>3.16</t>
  </si>
  <si>
    <t>8.</t>
  </si>
  <si>
    <t>34226-3995</t>
  </si>
  <si>
    <t>Příplatek k příčce sádrokart. Za AKU  izolaci 5-8cm</t>
  </si>
  <si>
    <t>9.</t>
  </si>
  <si>
    <t>34226-3998</t>
  </si>
  <si>
    <t>Příplatek k příčce sádrokart.za plochu do 5m2</t>
  </si>
  <si>
    <t>10.</t>
  </si>
  <si>
    <t>34226-6111</t>
  </si>
  <si>
    <t>Obklad stěn sádrokartónem tl.220mm na ocelovou konstrukci desky</t>
  </si>
  <si>
    <t>Impregnované tl.12,5mm</t>
  </si>
  <si>
    <t>3.14-3.15</t>
  </si>
  <si>
    <t>11.</t>
  </si>
  <si>
    <t>34226-6998</t>
  </si>
  <si>
    <t>Příplatek pro obklad za plochu do 5m2</t>
  </si>
  <si>
    <t>12.</t>
  </si>
  <si>
    <t>34226-5122</t>
  </si>
  <si>
    <t>Úprava SDK podkroví.na ocel.rošt  stávající podhledy</t>
  </si>
  <si>
    <t>3.03-3.28</t>
  </si>
  <si>
    <t>13.</t>
  </si>
  <si>
    <t>34226-7112</t>
  </si>
  <si>
    <t>Obklad trámů sádrokartónem třístranný do 0,5/0,5m desky tl.12,5mm</t>
  </si>
  <si>
    <t>m</t>
  </si>
  <si>
    <t>1.03</t>
  </si>
  <si>
    <t>2.20</t>
  </si>
  <si>
    <t>Kapitola celkem</t>
  </si>
  <si>
    <t>14.</t>
  </si>
  <si>
    <t>41138-7231</t>
  </si>
  <si>
    <t>Zabetonování otvorů 0,25m2 bve stropech a klenbách</t>
  </si>
  <si>
    <t>15.</t>
  </si>
  <si>
    <t>61099-1111</t>
  </si>
  <si>
    <t>Zakrývání výplní otvorů apředmětů apod.</t>
  </si>
  <si>
    <t>jižní pohled</t>
  </si>
  <si>
    <t>východní pohled</t>
  </si>
  <si>
    <t>západní pohled</t>
  </si>
  <si>
    <t>severní pohled</t>
  </si>
  <si>
    <t>zábradlí a dř.stěny</t>
  </si>
  <si>
    <t>16.</t>
  </si>
  <si>
    <t>61142-1133</t>
  </si>
  <si>
    <t>Omítka vnitřní stropů rovných,MVC, štuková</t>
  </si>
  <si>
    <t>17.</t>
  </si>
  <si>
    <t>61142-1331</t>
  </si>
  <si>
    <t>Oprava váp.omítek stropů do 30% plochy štukových</t>
  </si>
  <si>
    <t>1.02-07,1.14-15</t>
  </si>
  <si>
    <t>18.</t>
  </si>
  <si>
    <t>61140-1111</t>
  </si>
  <si>
    <t>Omítka malých ploch stropů do 0,09m2</t>
  </si>
  <si>
    <t>1.02-1,26</t>
  </si>
  <si>
    <t>3.01-3.04,3.20-3.28</t>
  </si>
  <si>
    <t>19.</t>
  </si>
  <si>
    <t>61240-1191</t>
  </si>
  <si>
    <t>Omítka malých ploch vnitřních stěn do 0,09m2</t>
  </si>
  <si>
    <t>1.02 – 1.26</t>
  </si>
  <si>
    <t>20.</t>
  </si>
  <si>
    <t>61140-3399</t>
  </si>
  <si>
    <t>Hrubá výplň rýh ve stropech maltou</t>
  </si>
  <si>
    <t>1.01</t>
  </si>
  <si>
    <t>21.</t>
  </si>
  <si>
    <t>61240-3399</t>
  </si>
  <si>
    <t>Hrubá výplň rýh ve stěnách maltou</t>
  </si>
  <si>
    <t>1.25</t>
  </si>
  <si>
    <t>2.02</t>
  </si>
  <si>
    <t>2.03</t>
  </si>
  <si>
    <t>2.04</t>
  </si>
  <si>
    <t>2.07</t>
  </si>
  <si>
    <t>2.12,2.13</t>
  </si>
  <si>
    <t>2.23</t>
  </si>
  <si>
    <t>3.11</t>
  </si>
  <si>
    <t>3.14-15</t>
  </si>
  <si>
    <t>22.</t>
  </si>
  <si>
    <t>61242-1331</t>
  </si>
  <si>
    <t>Oprava omítek ve schodišťovém  prostoru,MVC, štuková z 50%</t>
  </si>
  <si>
    <t>stěny</t>
  </si>
  <si>
    <t>podhledy</t>
  </si>
  <si>
    <t>23.</t>
  </si>
  <si>
    <t>Oprava vápen.omítek stěn do 30% pl.-štukových</t>
  </si>
  <si>
    <t>1.02</t>
  </si>
  <si>
    <t>1.08</t>
  </si>
  <si>
    <t>1.09b</t>
  </si>
  <si>
    <t>1.14</t>
  </si>
  <si>
    <t>1.15</t>
  </si>
  <si>
    <t>1.20</t>
  </si>
  <si>
    <t>2.09</t>
  </si>
  <si>
    <t>2.14</t>
  </si>
  <si>
    <t>2.16</t>
  </si>
  <si>
    <t>2.18</t>
  </si>
  <si>
    <t>2.26</t>
  </si>
  <si>
    <t>3.03</t>
  </si>
  <si>
    <t>3.04</t>
  </si>
  <si>
    <t>3.12</t>
  </si>
  <si>
    <t>3.20</t>
  </si>
  <si>
    <t>3.22</t>
  </si>
  <si>
    <t>3.23</t>
  </si>
  <si>
    <t>24.</t>
  </si>
  <si>
    <t>61245-1111</t>
  </si>
  <si>
    <t>Omítka vnitřní zdiva,MVC hrubá zatřená, vyrovnání zdiva</t>
  </si>
  <si>
    <t>po odsekaných obkladech na stávajících zdech</t>
  </si>
  <si>
    <t>3.17</t>
  </si>
  <si>
    <t>za kuch.linkami</t>
  </si>
  <si>
    <t>25.</t>
  </si>
  <si>
    <t>61242-1637</t>
  </si>
  <si>
    <t>Omítka stěn vnitřní MVC štuková včetně ostění</t>
  </si>
  <si>
    <t>nové příčky,zazdívky otvorů</t>
  </si>
  <si>
    <t>2.05</t>
  </si>
  <si>
    <t>2.11</t>
  </si>
  <si>
    <t>26.</t>
  </si>
  <si>
    <t>Omítka stěn vnit. hladká pod obklad</t>
  </si>
  <si>
    <t>2 .16</t>
  </si>
  <si>
    <t>27.</t>
  </si>
  <si>
    <t>61240-9991</t>
  </si>
  <si>
    <t>Začištění omítek kolem oken, dveří apod.</t>
  </si>
  <si>
    <t>28.</t>
  </si>
  <si>
    <t>61147-4111</t>
  </si>
  <si>
    <t>Přeštukování omítek stropů vč.penetrace</t>
  </si>
  <si>
    <t>29.</t>
  </si>
  <si>
    <t>61247-4112</t>
  </si>
  <si>
    <t>Přeštukování omítek stěn vč.penetrace</t>
  </si>
  <si>
    <t>1.10</t>
  </si>
  <si>
    <t>1.11</t>
  </si>
  <si>
    <t>1.13</t>
  </si>
  <si>
    <t>1.17</t>
  </si>
  <si>
    <t>1.18</t>
  </si>
  <si>
    <t>1.19</t>
  </si>
  <si>
    <t>1.21</t>
  </si>
  <si>
    <t>1.22</t>
  </si>
  <si>
    <t>1.23</t>
  </si>
  <si>
    <t>1.24</t>
  </si>
  <si>
    <t>2.06</t>
  </si>
  <si>
    <t>2.08</t>
  </si>
  <si>
    <t>2.10</t>
  </si>
  <si>
    <t>2.17</t>
  </si>
  <si>
    <t>2.19</t>
  </si>
  <si>
    <t>2.27</t>
  </si>
  <si>
    <t>2.28</t>
  </si>
  <si>
    <t>3.05</t>
  </si>
  <si>
    <t>3.06</t>
  </si>
  <si>
    <t>3.07</t>
  </si>
  <si>
    <t>3.08</t>
  </si>
  <si>
    <t>3.09</t>
  </si>
  <si>
    <t>3.10</t>
  </si>
  <si>
    <t>3.13</t>
  </si>
  <si>
    <t>3.18</t>
  </si>
  <si>
    <t>3.19</t>
  </si>
  <si>
    <t>3.21</t>
  </si>
  <si>
    <t>3.24</t>
  </si>
  <si>
    <t>3.28</t>
  </si>
  <si>
    <t>30.</t>
  </si>
  <si>
    <t>Přeštukování omítek ve schodišťovém prostoru vč.penetrace</t>
  </si>
  <si>
    <t>31.</t>
  </si>
  <si>
    <t>61248-1111</t>
  </si>
  <si>
    <t>Potažení vnitřních stěn keramickým pletivem s vypnutím</t>
  </si>
  <si>
    <t>32.</t>
  </si>
  <si>
    <t>61245-1231</t>
  </si>
  <si>
    <t>Oprava vnějších omítek stěn  s nátěrem</t>
  </si>
  <si>
    <t>severní</t>
  </si>
  <si>
    <t>VZT prostup</t>
  </si>
  <si>
    <t>západní</t>
  </si>
  <si>
    <t>VZT prostup, dozdívky, vstupní dveře</t>
  </si>
  <si>
    <t>jižní</t>
  </si>
  <si>
    <t>dozdívky po demontovaných technologiích</t>
  </si>
  <si>
    <t>východní</t>
  </si>
  <si>
    <t>33.</t>
  </si>
  <si>
    <t>62099-1121</t>
  </si>
  <si>
    <t>Zakrývání ploch vnějších</t>
  </si>
  <si>
    <t>34.</t>
  </si>
  <si>
    <t>63131-1121</t>
  </si>
  <si>
    <t>Doplnění mazanin betonem do 1m2, do tl.8cm</t>
  </si>
  <si>
    <t>m3</t>
  </si>
  <si>
    <t>napojení kanalizace</t>
  </si>
  <si>
    <t xml:space="preserve">prostupy </t>
  </si>
  <si>
    <t>35.</t>
  </si>
  <si>
    <t>63241-5140</t>
  </si>
  <si>
    <t>Potěr samonivelační na bázi cementu do  tl.40</t>
  </si>
  <si>
    <t>1NP</t>
  </si>
  <si>
    <t>1.03,1.06-07,1.15</t>
  </si>
  <si>
    <t>2.12,2.13,2.15</t>
  </si>
  <si>
    <t>2.16,2.18</t>
  </si>
  <si>
    <t>3.14,3.15-17,3.20</t>
  </si>
  <si>
    <t>3.22,3.23</t>
  </si>
  <si>
    <t>3.13,3.21</t>
  </si>
  <si>
    <t>36.</t>
  </si>
  <si>
    <t>64294-2110</t>
  </si>
  <si>
    <t>Osazení zárubní dveřních ocelových,pl.do 2,5  vč.dodávky H 80x197</t>
  </si>
  <si>
    <t>Z1-80x197-3ks</t>
  </si>
  <si>
    <t>Z2-90x197-2ks</t>
  </si>
  <si>
    <t>Z3-80x197-3ks</t>
  </si>
  <si>
    <t>Z4-80x197-1ks</t>
  </si>
  <si>
    <t>Z7-70x197-3ks</t>
  </si>
  <si>
    <t>37.</t>
  </si>
  <si>
    <t>64294-5111</t>
  </si>
  <si>
    <t>Osazení zárubní ocel.požár.1křídl. pl. Do 2,5m2 vč.dodávky 80x197</t>
  </si>
  <si>
    <t>Z5aZ6-80x197 PO-5ks</t>
  </si>
  <si>
    <t>38.</t>
  </si>
  <si>
    <t>94195-5002</t>
  </si>
  <si>
    <t>Lešení lehké pomocné, výška podlahy do 1,9m</t>
  </si>
  <si>
    <t>39.</t>
  </si>
  <si>
    <t>94195-5102</t>
  </si>
  <si>
    <t>Lešení lehké pomocné,schodiště, výška podlahy do 3,5m</t>
  </si>
  <si>
    <t>40.</t>
  </si>
  <si>
    <t>94194-1031</t>
  </si>
  <si>
    <t>Montáž lešení leh.řad. S podlahami,š.do 1m, výška do10m</t>
  </si>
  <si>
    <t>41.</t>
  </si>
  <si>
    <t>94194-1191</t>
  </si>
  <si>
    <t>Příplatek za každý měsíc použití  lešení</t>
  </si>
  <si>
    <t>42.</t>
  </si>
  <si>
    <t>94194-1831</t>
  </si>
  <si>
    <t>Demontáž lešení leh.řad. S podlahami,š.do 1m, výška do10m</t>
  </si>
  <si>
    <t>43.</t>
  </si>
  <si>
    <t>94190-1001</t>
  </si>
  <si>
    <t>Vyčištění objektů staveništní do v.podl.12m</t>
  </si>
  <si>
    <t>44.</t>
  </si>
  <si>
    <t>99900-0010</t>
  </si>
  <si>
    <t>Osazení včetně revize hasícího přístroje práškového 27A</t>
  </si>
  <si>
    <t>vč.dodávky HP adržáku na zeď</t>
  </si>
  <si>
    <t>45.</t>
  </si>
  <si>
    <t>76681-0013</t>
  </si>
  <si>
    <t>Montáž technologie demontované  el.schodišťové židle</t>
  </si>
  <si>
    <t>46.</t>
  </si>
  <si>
    <t>99900-0022</t>
  </si>
  <si>
    <t>Osazení a dodávka výstražných tabulek</t>
  </si>
  <si>
    <t>47.</t>
  </si>
  <si>
    <t>99928-1111</t>
  </si>
  <si>
    <t>Přesun hmot pro opravy a údržbu do výšky 25m</t>
  </si>
  <si>
    <t>t</t>
  </si>
  <si>
    <t>95</t>
  </si>
  <si>
    <t>48.</t>
  </si>
  <si>
    <t>96508-1713</t>
  </si>
  <si>
    <t>Bourání dlaždic keramických tl.1cm, nad 1m2</t>
  </si>
  <si>
    <t>1.03,1.06,1.07</t>
  </si>
  <si>
    <t>54-13,8+5,2+4,2+12,5+32+2,6</t>
  </si>
  <si>
    <t>1.15,1.16,1.26</t>
  </si>
  <si>
    <t>2.02,2.12-13</t>
  </si>
  <si>
    <t>0,41+5,4+5,8+4,3+2,3+4,5+13,3</t>
  </si>
  <si>
    <t>2.15-16,2.18,2.20</t>
  </si>
  <si>
    <t>3.13-3.18,3.20-23</t>
  </si>
  <si>
    <t>3,1+3,1+3,4+3+4,2+2,3+3,9+10,9+1,3+1,3</t>
  </si>
  <si>
    <t>49.</t>
  </si>
  <si>
    <t>97805-9533</t>
  </si>
  <si>
    <t>Odsekání keramických vnitřních soklíků</t>
  </si>
  <si>
    <t>schody</t>
  </si>
  <si>
    <t>podesty</t>
  </si>
  <si>
    <t>50.</t>
  </si>
  <si>
    <t>96504-2131</t>
  </si>
  <si>
    <t>Bourání mazanin betonových tl.10cm pl.do 4m2</t>
  </si>
  <si>
    <t>1.07,1.26</t>
  </si>
  <si>
    <t>2.02,2.15,2.16</t>
  </si>
  <si>
    <t>3.13-3.18,3.20</t>
  </si>
  <si>
    <t>51.</t>
  </si>
  <si>
    <t>96504-2141</t>
  </si>
  <si>
    <t>Bourání mazanin betonových tl.10cm pl.nad  4m2</t>
  </si>
  <si>
    <t>1.03,1.06,</t>
  </si>
  <si>
    <t>1.15,1.16</t>
  </si>
  <si>
    <t>52.</t>
  </si>
  <si>
    <t>Bourání mazanin betonových tl.10cm pl.do 1m2</t>
  </si>
  <si>
    <t>1.07,3.16.2.15</t>
  </si>
  <si>
    <t>53.</t>
  </si>
  <si>
    <t>77620-0810</t>
  </si>
  <si>
    <t>Odstranění PVC podlah lepených ze schodišť</t>
  </si>
  <si>
    <t>schodiště</t>
  </si>
  <si>
    <t>54.</t>
  </si>
  <si>
    <t>77651-1810</t>
  </si>
  <si>
    <t>Odstranění PVC podlah lepených a koberce</t>
  </si>
  <si>
    <t>1.03-05,1,14</t>
  </si>
  <si>
    <t>2.02,2.03,2.05-11</t>
  </si>
  <si>
    <t>2.14,2.19,2.20</t>
  </si>
  <si>
    <t>2.23,2.26</t>
  </si>
  <si>
    <t>3.02-3.12</t>
  </si>
  <si>
    <t>3.24,3.28</t>
  </si>
  <si>
    <t>55.</t>
  </si>
  <si>
    <t>77640-1800</t>
  </si>
  <si>
    <t>Demontáž soklíků nebo lišt,pryžových nebo z PVC</t>
  </si>
  <si>
    <t>1.04,1.05,1,16</t>
  </si>
  <si>
    <t>2.05-2.09</t>
  </si>
  <si>
    <t>2.10-2.11</t>
  </si>
  <si>
    <t>2.23, 2.26</t>
  </si>
  <si>
    <t>56.</t>
  </si>
  <si>
    <t>78440-2801</t>
  </si>
  <si>
    <t>Odstranění malby oškrábáním v místnosti H do 3,8m stropů</t>
  </si>
  <si>
    <t>57.</t>
  </si>
  <si>
    <t>78440-2802</t>
  </si>
  <si>
    <t>Odstranění malby oškrábáním v místnosti H do 3,8m stěn</t>
  </si>
  <si>
    <t>58.</t>
  </si>
  <si>
    <t>78440-2805</t>
  </si>
  <si>
    <t>Odstranění malby oškrábáním v místnosti H do 3,8m schodiště</t>
  </si>
  <si>
    <t>59.</t>
  </si>
  <si>
    <t>96203-1132</t>
  </si>
  <si>
    <t>Bourání příček cihelných tl.10cm</t>
  </si>
  <si>
    <t>60.</t>
  </si>
  <si>
    <t>97103-3631</t>
  </si>
  <si>
    <t>Vybourání otv.zeď cihel. pl.4m2, tl.10cm,MVC</t>
  </si>
  <si>
    <t>pro nové dveře či nový průchod či zvětšení  otvoru</t>
  </si>
  <si>
    <t>61.</t>
  </si>
  <si>
    <t>97103-3251</t>
  </si>
  <si>
    <t>Vybourání otvorů zeď cihelná 0,0225m2, tl.60cm</t>
  </si>
  <si>
    <t>62.</t>
  </si>
  <si>
    <t>97204-4351</t>
  </si>
  <si>
    <t>Vybourání otvorů ve stropě</t>
  </si>
  <si>
    <t>63.</t>
  </si>
  <si>
    <t>97403-1133</t>
  </si>
  <si>
    <t xml:space="preserve">Vysekání rýh ve zdi cihelné </t>
  </si>
  <si>
    <t>dle pol.č.21</t>
  </si>
  <si>
    <t>64.</t>
  </si>
  <si>
    <t>97403-1233</t>
  </si>
  <si>
    <t xml:space="preserve">Vysekání rýh ve stropě </t>
  </si>
  <si>
    <t>dle pol č.20</t>
  </si>
  <si>
    <t>65.</t>
  </si>
  <si>
    <t>96703-1132</t>
  </si>
  <si>
    <t>Přisekání rovných ostění cihelných na MVC</t>
  </si>
  <si>
    <t>1ks</t>
  </si>
  <si>
    <t>7ks</t>
  </si>
  <si>
    <t>4ks</t>
  </si>
  <si>
    <t>3ks</t>
  </si>
  <si>
    <t>3.14,3.15</t>
  </si>
  <si>
    <t>3.20-3.21</t>
  </si>
  <si>
    <t>66.</t>
  </si>
  <si>
    <t>97403-1155</t>
  </si>
  <si>
    <t>Vysekání rýh ve zdi cihelné pro nový překlad nenosný</t>
  </si>
  <si>
    <t>67.</t>
  </si>
  <si>
    <t>97103-3261</t>
  </si>
  <si>
    <t>1.09B</t>
  </si>
  <si>
    <t>1kus</t>
  </si>
  <si>
    <t>68.</t>
  </si>
  <si>
    <t>96806-1125</t>
  </si>
  <si>
    <t>Vyvěšení dřevených dveřních křídel pl.do 2m2</t>
  </si>
  <si>
    <t>34ks</t>
  </si>
  <si>
    <t>27ks</t>
  </si>
  <si>
    <t>69.</t>
  </si>
  <si>
    <t>96806-2746</t>
  </si>
  <si>
    <t>Vybourání/vyvěšení  dřevěných stěn dvoukřídlých</t>
  </si>
  <si>
    <t>70.</t>
  </si>
  <si>
    <t>96807-2455</t>
  </si>
  <si>
    <t>Vybourání kovových dveřních zárubní či rámů pl.2m2</t>
  </si>
  <si>
    <t>71.</t>
  </si>
  <si>
    <t>96807-2456</t>
  </si>
  <si>
    <t>72.</t>
  </si>
  <si>
    <t>97801-1191</t>
  </si>
  <si>
    <t>Otlučení vnitřních omítek vápenných stropů do 100%</t>
  </si>
  <si>
    <t>73.</t>
  </si>
  <si>
    <t>97805-9531</t>
  </si>
  <si>
    <t>Odsekání vnitřních obkladů stěn nad 2m2</t>
  </si>
  <si>
    <t>74.</t>
  </si>
  <si>
    <t>97801-3191</t>
  </si>
  <si>
    <t>Otlučení omítek vnitřních stěn v rozsahu do 100%</t>
  </si>
  <si>
    <t>75.</t>
  </si>
  <si>
    <t>76641-1821</t>
  </si>
  <si>
    <t>Demontáž obložení stěn palubkami</t>
  </si>
  <si>
    <t>76.</t>
  </si>
  <si>
    <t>76641-1822</t>
  </si>
  <si>
    <t>Demontáž podkladových roštů obložení stěn a podhledů stropu</t>
  </si>
  <si>
    <t>77.</t>
  </si>
  <si>
    <t>76642-1811</t>
  </si>
  <si>
    <t>Demontáž plechového  obložení podhledů</t>
  </si>
  <si>
    <t>78.</t>
  </si>
  <si>
    <t>76681-0010</t>
  </si>
  <si>
    <t>Demontáž skříně vestavěné</t>
  </si>
  <si>
    <t>79.</t>
  </si>
  <si>
    <t>76681-0012</t>
  </si>
  <si>
    <t>Demontáž kuchyňských linek</t>
  </si>
  <si>
    <t>80.</t>
  </si>
  <si>
    <t>Demontáž technologie el.schodišťové židle</t>
  </si>
  <si>
    <t>81.</t>
  </si>
  <si>
    <t>76681-0014</t>
  </si>
  <si>
    <t>Demontáž střešních oken</t>
  </si>
  <si>
    <t>82.</t>
  </si>
  <si>
    <t>76681-0016</t>
  </si>
  <si>
    <t>Demontáž  technologie prádelny</t>
  </si>
  <si>
    <t>83.</t>
  </si>
  <si>
    <t>78380-2822</t>
  </si>
  <si>
    <t>Odstranění nátěrů z omítek stěn, opálením/oškrábáním</t>
  </si>
  <si>
    <t>ve schodišti</t>
  </si>
  <si>
    <t>84.</t>
  </si>
  <si>
    <t>72529-0010</t>
  </si>
  <si>
    <t>Demontáž klozetu včetně splachovací nádrže a výlevky</t>
  </si>
  <si>
    <t>7ks+1ks</t>
  </si>
  <si>
    <t>8ks+1ks</t>
  </si>
  <si>
    <t>85.</t>
  </si>
  <si>
    <t>72529-0020</t>
  </si>
  <si>
    <t>Demontáž umyvadla včetně baterie a konzol</t>
  </si>
  <si>
    <t>11ks</t>
  </si>
  <si>
    <t>86.</t>
  </si>
  <si>
    <t>72529-0030</t>
  </si>
  <si>
    <t>Demontáž vany včetně baterií a obezdění</t>
  </si>
  <si>
    <t>87.</t>
  </si>
  <si>
    <t>72529-0040</t>
  </si>
  <si>
    <t>Demontáž sprchy vč.baterie a obezdění</t>
  </si>
  <si>
    <t>5ks</t>
  </si>
  <si>
    <t>88.</t>
  </si>
  <si>
    <t>97901-1111</t>
  </si>
  <si>
    <t>Svislá doprava suti a vybour.hmot za 1.NP a 1.PP</t>
  </si>
  <si>
    <t>89.</t>
  </si>
  <si>
    <t>97901-1121</t>
  </si>
  <si>
    <t>Příplatek za každé další podlaží</t>
  </si>
  <si>
    <t>90.</t>
  </si>
  <si>
    <t>97908-1111</t>
  </si>
  <si>
    <t>Odvoz suti a vybour.hmot na skládku do 1km</t>
  </si>
  <si>
    <t>91.</t>
  </si>
  <si>
    <t>97908-1121</t>
  </si>
  <si>
    <t xml:space="preserve">Příplatek k odvozu za každý další 1km </t>
  </si>
  <si>
    <t>92.</t>
  </si>
  <si>
    <t>97908-2111</t>
  </si>
  <si>
    <t>Vnitrostaveništní doprava suti do 10m</t>
  </si>
  <si>
    <t>93.</t>
  </si>
  <si>
    <t>97908-2121</t>
  </si>
  <si>
    <t>Příplatek k vnitrst.dopravě suti za dalších 5m</t>
  </si>
  <si>
    <t>94.</t>
  </si>
  <si>
    <t>97908-1122</t>
  </si>
  <si>
    <t>Poplatek za uložení suti na skládku -směs betonu ,cihel,obkladu</t>
  </si>
  <si>
    <t>711</t>
  </si>
  <si>
    <t>95.</t>
  </si>
  <si>
    <t>71121-2001</t>
  </si>
  <si>
    <t>Nátěr hydroizolační těsnící hmotou proti vlhkosti vč.dodávky</t>
  </si>
  <si>
    <t>1.06,1.07</t>
  </si>
  <si>
    <t>2.12-13,2.15-16</t>
  </si>
  <si>
    <t>sokl</t>
  </si>
  <si>
    <t>96.</t>
  </si>
  <si>
    <t>71121-2601</t>
  </si>
  <si>
    <t>Těsnící pás do spoje podlaha-stěna</t>
  </si>
  <si>
    <t>97.</t>
  </si>
  <si>
    <t>99871-6202</t>
  </si>
  <si>
    <t>Přesun hmot pro izolace proti vodě výšky do 12m</t>
  </si>
  <si>
    <t>%</t>
  </si>
  <si>
    <t>98.</t>
  </si>
  <si>
    <t>Příplatek za zvětšený přesun izoalce proti vodě do 100m</t>
  </si>
  <si>
    <t>99.</t>
  </si>
  <si>
    <t>713002</t>
  </si>
  <si>
    <t>100.</t>
  </si>
  <si>
    <t>713004</t>
  </si>
  <si>
    <t>101.</t>
  </si>
  <si>
    <t>99871-3202</t>
  </si>
  <si>
    <t>Přesun hmot pro izolace tepelné, výšky do 12m</t>
  </si>
  <si>
    <t>721</t>
  </si>
  <si>
    <t>102.</t>
  </si>
  <si>
    <t>721174042U00</t>
  </si>
  <si>
    <t>Kanal potr PP připoj DN 40</t>
  </si>
  <si>
    <t>103.</t>
  </si>
  <si>
    <t>721174043U00</t>
  </si>
  <si>
    <t>Kanal potr PP připoj DN 50</t>
  </si>
  <si>
    <t>104.</t>
  </si>
  <si>
    <t>721174044U00</t>
  </si>
  <si>
    <t>Kanal potr PP připoj DN 110</t>
  </si>
  <si>
    <t>105.</t>
  </si>
  <si>
    <t>721194104R00</t>
  </si>
  <si>
    <t>Vyvedení odpadních výpustek D 40 x 1,8</t>
  </si>
  <si>
    <t>106.</t>
  </si>
  <si>
    <t>721194109R00</t>
  </si>
  <si>
    <t>Vyvedení odpadních výpustek D 110 x 2,3</t>
  </si>
  <si>
    <t>107.</t>
  </si>
  <si>
    <t>721273200RT3</t>
  </si>
  <si>
    <t>Tlakova zkouška kanalizace</t>
  </si>
  <si>
    <t>108.</t>
  </si>
  <si>
    <t>784259700R00</t>
  </si>
  <si>
    <t>Napojení na stávající rozvod</t>
  </si>
  <si>
    <t>109.</t>
  </si>
  <si>
    <t>721290821R00</t>
  </si>
  <si>
    <t>Přesun hmot - kanalizace,</t>
  </si>
  <si>
    <t>110.</t>
  </si>
  <si>
    <t>999721201</t>
  </si>
  <si>
    <t>Zednické přípomoce pro kanalizaci</t>
  </si>
  <si>
    <t>hod</t>
  </si>
  <si>
    <t>722</t>
  </si>
  <si>
    <t>111.</t>
  </si>
  <si>
    <t>722172311R00</t>
  </si>
  <si>
    <t>112.</t>
  </si>
  <si>
    <t>722172312R00</t>
  </si>
  <si>
    <t>113.</t>
  </si>
  <si>
    <t>722220151U00</t>
  </si>
  <si>
    <t>Nástěnka plast PPR PN20 DN 16XG1/2</t>
  </si>
  <si>
    <t>114.</t>
  </si>
  <si>
    <t>722224152U00</t>
  </si>
  <si>
    <t>Zátka na vodovoní potrubí do DN25</t>
  </si>
  <si>
    <t>115.</t>
  </si>
  <si>
    <t>722290226R00</t>
  </si>
  <si>
    <t>Zkouška tlaku potrubí DN 50</t>
  </si>
  <si>
    <t>116.</t>
  </si>
  <si>
    <t>722290821R00</t>
  </si>
  <si>
    <t>Přesun vybouraných hmot - vodovody, H do 6 m</t>
  </si>
  <si>
    <t>117.</t>
  </si>
  <si>
    <t>999722201X</t>
  </si>
  <si>
    <t>Zednické přípomoce pro vodovod</t>
  </si>
  <si>
    <t>725</t>
  </si>
  <si>
    <t>118.</t>
  </si>
  <si>
    <t>725014131R00</t>
  </si>
  <si>
    <t>Kombiklozet např.Jika Lyra plus+sedátko, bílý</t>
  </si>
  <si>
    <t>119.</t>
  </si>
  <si>
    <t>725014132R00</t>
  </si>
  <si>
    <t>Kombiklozet se zvýšenou výškou+sedátko</t>
  </si>
  <si>
    <t>120.</t>
  </si>
  <si>
    <t>725188325R00</t>
  </si>
  <si>
    <t>Umyvadlo dit 60cm včetně sifonu a uzávěru výpusti</t>
  </si>
  <si>
    <t>121.</t>
  </si>
  <si>
    <t>725188326R00</t>
  </si>
  <si>
    <t>Zdravotní umyvadlo 64cm, bez přepadu</t>
  </si>
  <si>
    <t>122.</t>
  </si>
  <si>
    <t>725188327R00</t>
  </si>
  <si>
    <t>Místo šetřící sifon</t>
  </si>
  <si>
    <t>123.</t>
  </si>
  <si>
    <t>725489725E00</t>
  </si>
  <si>
    <t>Stojící výlevka např.Mira s plastovou mřížkou</t>
  </si>
  <si>
    <t>124.</t>
  </si>
  <si>
    <t>725468459R00</t>
  </si>
  <si>
    <t>Montáž výlevky</t>
  </si>
  <si>
    <t>125.</t>
  </si>
  <si>
    <t>725113123U00</t>
  </si>
  <si>
    <t>Mtž klozet mís</t>
  </si>
  <si>
    <t>126.</t>
  </si>
  <si>
    <t>725215102U00</t>
  </si>
  <si>
    <t>Mtž umyvadla</t>
  </si>
  <si>
    <t>127.</t>
  </si>
  <si>
    <t>725819402R00</t>
  </si>
  <si>
    <t>Montáž ventilu rohového bez trubičky G ½ vč.dodávky</t>
  </si>
  <si>
    <t>128.</t>
  </si>
  <si>
    <t>725821325U00</t>
  </si>
  <si>
    <t>Baterie um stoj páka otáč ú dl200</t>
  </si>
  <si>
    <t>129.</t>
  </si>
  <si>
    <t>725821342U00</t>
  </si>
  <si>
    <t>Baterie výlevka bat nap</t>
  </si>
  <si>
    <t>130.</t>
  </si>
  <si>
    <t>725821343U00</t>
  </si>
  <si>
    <t>Baterie dřez bat nap</t>
  </si>
  <si>
    <t>131.</t>
  </si>
  <si>
    <t>725821424U00</t>
  </si>
  <si>
    <t>Mtž baterie</t>
  </si>
  <si>
    <t>132.</t>
  </si>
  <si>
    <t>725821425U00</t>
  </si>
  <si>
    <t>Spojovací a upevňovací materiál</t>
  </si>
  <si>
    <t>133.</t>
  </si>
  <si>
    <t>998725293R00</t>
  </si>
  <si>
    <t>Přesun, zařiz. Předměty</t>
  </si>
  <si>
    <t>733</t>
  </si>
  <si>
    <t>134.</t>
  </si>
  <si>
    <t>733162451R00</t>
  </si>
  <si>
    <t>135.</t>
  </si>
  <si>
    <t>733291101U00</t>
  </si>
  <si>
    <t>Zkouška těsnosti potrubí Cu -D 35</t>
  </si>
  <si>
    <t>136.</t>
  </si>
  <si>
    <t>904      R02</t>
  </si>
  <si>
    <t>Hzs-vypuštění , napuštění , zkouška systému</t>
  </si>
  <si>
    <t>137.</t>
  </si>
  <si>
    <t>733190108X</t>
  </si>
  <si>
    <t>Zednické přípomoce ÚT</t>
  </si>
  <si>
    <t>138.</t>
  </si>
  <si>
    <t>998733101R00</t>
  </si>
  <si>
    <t>Přesun hmot pro rozvody potrubí, výšky do 6 m</t>
  </si>
  <si>
    <t>734</t>
  </si>
  <si>
    <t>139.</t>
  </si>
  <si>
    <t>73520-0110RAO</t>
  </si>
  <si>
    <t xml:space="preserve">Demontáž ventilů u otopných těles  </t>
  </si>
  <si>
    <t>140.</t>
  </si>
  <si>
    <t>734209115RM1</t>
  </si>
  <si>
    <t xml:space="preserve">Montáž armatur závitových,se 2závity, </t>
  </si>
  <si>
    <t>141.</t>
  </si>
  <si>
    <t>734251211U00</t>
  </si>
  <si>
    <t>Hlavice termostatická Heimeier pro veřejné prostory</t>
  </si>
  <si>
    <t>142.</t>
  </si>
  <si>
    <t>734261212RT2</t>
  </si>
  <si>
    <t>Ventil termostatický Heimeier</t>
  </si>
  <si>
    <t>143.</t>
  </si>
  <si>
    <t>Ventil příslušenství- nastavovací klíč</t>
  </si>
  <si>
    <t>144.</t>
  </si>
  <si>
    <t>998734101R00</t>
  </si>
  <si>
    <t>Přesun hmot pro armatury, výšky do 6 m</t>
  </si>
  <si>
    <t>735</t>
  </si>
  <si>
    <t>145.</t>
  </si>
  <si>
    <t>73520-0010RAO</t>
  </si>
  <si>
    <t xml:space="preserve">Demontáž otopných těles  </t>
  </si>
  <si>
    <t>146.</t>
  </si>
  <si>
    <t>735511039U00</t>
  </si>
  <si>
    <t>Otopné těleso VK 21-60/60</t>
  </si>
  <si>
    <t>147.</t>
  </si>
  <si>
    <t>735428564R00</t>
  </si>
  <si>
    <t>Montáž otopného tělesa</t>
  </si>
  <si>
    <t>148.</t>
  </si>
  <si>
    <t>998735101R00</t>
  </si>
  <si>
    <t>Přesun hmot pro otopná tělesa, výšky do 6 m</t>
  </si>
  <si>
    <t>149.</t>
  </si>
  <si>
    <t>76662-4043</t>
  </si>
  <si>
    <t>Montáž střešních oken požárních rozměr 78x140cm vč.dodávky</t>
  </si>
  <si>
    <t>Okno s předinstalovanou motorovou jednotkou vč.setu pro ovládání a kombi</t>
  </si>
  <si>
    <t>lemování</t>
  </si>
  <si>
    <t>150.</t>
  </si>
  <si>
    <t>76662-9500</t>
  </si>
  <si>
    <t>Montáž plastových dveří dvoukřídlých</t>
  </si>
  <si>
    <t>D1</t>
  </si>
  <si>
    <t>151.</t>
  </si>
  <si>
    <t>641-00006</t>
  </si>
  <si>
    <t>Dodávka plastových dveří dvoukřídlých D1 1600x2000</t>
  </si>
  <si>
    <t>Dle specifikace výrobků pozice D1</t>
  </si>
  <si>
    <t>152.</t>
  </si>
  <si>
    <t>76662-9501</t>
  </si>
  <si>
    <t>Opatření skla okna neprůhlednou folií</t>
  </si>
  <si>
    <t>1.09</t>
  </si>
  <si>
    <t>3.22, 3.23</t>
  </si>
  <si>
    <t>153.</t>
  </si>
  <si>
    <t>76666-1112</t>
  </si>
  <si>
    <t>Montáž dveří do zárubně,otevíravých 1kř.do 0,8m</t>
  </si>
  <si>
    <t>154.</t>
  </si>
  <si>
    <t>Dveře dřevěné vnitřní hladké plné 1křídlové standardní provedení 70x197</t>
  </si>
  <si>
    <t>dle specifikace výrobků D7 a D8</t>
  </si>
  <si>
    <t>155.</t>
  </si>
  <si>
    <t>Dveře dřevěné vnitřní hladké plné 1křídlové standardní provedení 80x197</t>
  </si>
  <si>
    <t>dle specifikace výrobků D3</t>
  </si>
  <si>
    <t>156.</t>
  </si>
  <si>
    <t>Sklo ze 2/3 ,dle specifikace výrobků D4</t>
  </si>
  <si>
    <t>157.</t>
  </si>
  <si>
    <t>76666-1122</t>
  </si>
  <si>
    <t>Montáž dveří do zárubně,otevíravých 1kř.nad  0,8m</t>
  </si>
  <si>
    <t>158.</t>
  </si>
  <si>
    <t>Dveře dřevěné vnitřní hladké plné 1křídlové standardní provedení 90x197</t>
  </si>
  <si>
    <t>dle specifikace výrobků D2</t>
  </si>
  <si>
    <t>159.</t>
  </si>
  <si>
    <t>76666-1422</t>
  </si>
  <si>
    <t>Montáž dveří protipožárních 1kř.nad  0,8m</t>
  </si>
  <si>
    <t>160.</t>
  </si>
  <si>
    <t>Dveře dřevěné vnitřní protipožární  hladké plné 1křídlové EW30 C3 DP3 80x197</t>
  </si>
  <si>
    <t>dle specifikace výrobků D5</t>
  </si>
  <si>
    <t>161.</t>
  </si>
  <si>
    <t>Dveře dřevěné vnitřní protipožární  hladké plné 1křídlové EI30 C3 DP3 80x197</t>
  </si>
  <si>
    <t>dle specifikace výrobků D6</t>
  </si>
  <si>
    <t>162.</t>
  </si>
  <si>
    <t>stávající dveře</t>
  </si>
  <si>
    <t>163.</t>
  </si>
  <si>
    <t>76612-1210</t>
  </si>
  <si>
    <t>Montáž stěn kompletizovaných plných vč.dodávky</t>
  </si>
  <si>
    <t>T1 – 2,1*2 s dveřmi 70x197 dle specifikace výrobků</t>
  </si>
  <si>
    <t>T2 – 1,2*2 s dveřmi 70x197 dle specifikace výrobků</t>
  </si>
  <si>
    <t>T3 – 1,95*2 s dveřmi 70x197 dle specifikace výrobků</t>
  </si>
  <si>
    <t>T4- 2x  1,8x2 s dveřmi 60x197  dle specifikace výrobků</t>
  </si>
  <si>
    <t>164.</t>
  </si>
  <si>
    <t>Montáž a dodávka kuchyňské linky dl. 3M</t>
  </si>
  <si>
    <t>T5- dle specifikace výrobků</t>
  </si>
  <si>
    <t>165.</t>
  </si>
  <si>
    <t>99876-6202</t>
  </si>
  <si>
    <t>Přesun hmot pro truhlářské konstr., výšky do 12m</t>
  </si>
  <si>
    <t>166.</t>
  </si>
  <si>
    <t>Příplatek za zvětšený přesun,truhlářské konstrukce do 100m</t>
  </si>
  <si>
    <t>Konstrukce zámečnické</t>
  </si>
  <si>
    <t>167.</t>
  </si>
  <si>
    <t>76701-0010</t>
  </si>
  <si>
    <t>D+M Mřížka fasádní se síťkou proti hmyzu</t>
  </si>
  <si>
    <t>západní pohled -1ks</t>
  </si>
  <si>
    <t>východní pohled -1ks</t>
  </si>
  <si>
    <t>severní pohled -1ks</t>
  </si>
  <si>
    <t>168.</t>
  </si>
  <si>
    <t>76701-0020</t>
  </si>
  <si>
    <t>D+M instalační dvířka 30x50</t>
  </si>
  <si>
    <t>169.</t>
  </si>
  <si>
    <t>76713-0064</t>
  </si>
  <si>
    <t>Pohled minerální např. Ecophon,závěs,desky60x60 bílé akustické</t>
  </si>
  <si>
    <t>2.02-2.16</t>
  </si>
  <si>
    <t>2.18-2.20,2.23,2.26</t>
  </si>
  <si>
    <t>170.</t>
  </si>
  <si>
    <t>76799-8105</t>
  </si>
  <si>
    <t>Montáž atypických konstrukcí hmotnosti do 5kg</t>
  </si>
  <si>
    <t>kg</t>
  </si>
  <si>
    <t>Z8+Z9+Z10+Z11</t>
  </si>
  <si>
    <t>171.</t>
  </si>
  <si>
    <t>134-00001</t>
  </si>
  <si>
    <t xml:space="preserve">Typové sklopné madlo k WC </t>
  </si>
  <si>
    <t>Z8 dle specifikace výrobků</t>
  </si>
  <si>
    <t>172.</t>
  </si>
  <si>
    <t>134-00002</t>
  </si>
  <si>
    <t>Typové pevné madlo k umyvadlu</t>
  </si>
  <si>
    <t>Z9 dle specifikace výrobků</t>
  </si>
  <si>
    <t>173.</t>
  </si>
  <si>
    <t>134-00003</t>
  </si>
  <si>
    <t xml:space="preserve">Typové dveřní vororovné madlo </t>
  </si>
  <si>
    <t>Z10 dle specifikace výrobků</t>
  </si>
  <si>
    <t>174.</t>
  </si>
  <si>
    <t>134-00004</t>
  </si>
  <si>
    <t>Instalační plastová dvířka 300x500</t>
  </si>
  <si>
    <t>Z11 dle specifikace výrobků</t>
  </si>
  <si>
    <t>175.</t>
  </si>
  <si>
    <t>99876-7202</t>
  </si>
  <si>
    <t>Přesun hmot pro zámečnické konstr., výšky do 12m</t>
  </si>
  <si>
    <t>176.</t>
  </si>
  <si>
    <t>99876-7292</t>
  </si>
  <si>
    <t>Příplatek za zvětšený přesun,zámeč.konstrukce do 100m</t>
  </si>
  <si>
    <t>¨</t>
  </si>
  <si>
    <t>177.</t>
  </si>
  <si>
    <t>77110-1121</t>
  </si>
  <si>
    <t>Provedení hloubkové  penetrace podkladu</t>
  </si>
  <si>
    <t>178.</t>
  </si>
  <si>
    <t>77157-9791</t>
  </si>
  <si>
    <t>Příplatek za plochu podlah keramických do5m2 jednotlivě</t>
  </si>
  <si>
    <t>1.6.,1.07</t>
  </si>
  <si>
    <t>179.</t>
  </si>
  <si>
    <t>77157-9792</t>
  </si>
  <si>
    <t>Příplatek za podlahy keramických v omezeném prostoru</t>
  </si>
  <si>
    <t>180.</t>
  </si>
  <si>
    <t>77113-0111</t>
  </si>
  <si>
    <t>Obklad soklíku rovných do tmele výšky do 10cm</t>
  </si>
  <si>
    <t>181.</t>
  </si>
  <si>
    <t>77121-2112</t>
  </si>
  <si>
    <t>Kladení dlažby keramické do tmele, vel. 30 x 30</t>
  </si>
  <si>
    <t>1.03,1.06,1.15</t>
  </si>
  <si>
    <t>182.</t>
  </si>
  <si>
    <t>77157-7831</t>
  </si>
  <si>
    <t>Přechodový profil podlahový včetně lišty kovové 90cm</t>
  </si>
  <si>
    <t>183.</t>
  </si>
  <si>
    <t>77157-001X</t>
  </si>
  <si>
    <t>Dodávka dlažby keramické  30 x 30</t>
  </si>
  <si>
    <t>184.</t>
  </si>
  <si>
    <t>99877-7202</t>
  </si>
  <si>
    <t>Přesun hmot pro podlahy z dlaždic., výšky do 12m</t>
  </si>
  <si>
    <t>185.</t>
  </si>
  <si>
    <t>99877-7292</t>
  </si>
  <si>
    <t>Příplatek za zvětšený přesun,podlahy z dlaždic do 100m</t>
  </si>
  <si>
    <t>186.</t>
  </si>
  <si>
    <t>77610-1115</t>
  </si>
  <si>
    <t>Vyrovnání podkladů samonivelační hmotou tl.10mm včetně dodávky materiálu</t>
  </si>
  <si>
    <t>187.</t>
  </si>
  <si>
    <t>77610-1121</t>
  </si>
  <si>
    <t>Provedení  hloubkové penetrace podkladu</t>
  </si>
  <si>
    <t>188.</t>
  </si>
  <si>
    <t>77622-0110</t>
  </si>
  <si>
    <t>Lepení podlah z PVC na stupnice rovné</t>
  </si>
  <si>
    <t>189.</t>
  </si>
  <si>
    <t>77622-0200</t>
  </si>
  <si>
    <t>Lepení podlah z PVC na podstupnice</t>
  </si>
  <si>
    <t>190.</t>
  </si>
  <si>
    <t>77622-0220</t>
  </si>
  <si>
    <t>Lepení protiskluzné hrany včetně dodávky na jednotlivé stupně</t>
  </si>
  <si>
    <t>nástupní a výstupní stupeň kontrastně označit jinou barvou</t>
  </si>
  <si>
    <t>191.</t>
  </si>
  <si>
    <t>77652-1100</t>
  </si>
  <si>
    <t>Lepení povlakových podlah z pásů PVC</t>
  </si>
  <si>
    <t>192.</t>
  </si>
  <si>
    <t>77642-1100</t>
  </si>
  <si>
    <t>Lepení a dodávka podlahových soklíků z měkčeného PVC či PVC lišt</t>
  </si>
  <si>
    <t>193.</t>
  </si>
  <si>
    <t xml:space="preserve">Lepení podlahových soklíků z měkčeného PVC na schodišti </t>
  </si>
  <si>
    <t>194.</t>
  </si>
  <si>
    <t>77657-2100</t>
  </si>
  <si>
    <t>Lepení vstupní rohože včetně dodávky a lišt</t>
  </si>
  <si>
    <t>195.</t>
  </si>
  <si>
    <t>Dodávka zátěžového PVC např. Novoflor extra vario, tl.2mm ,zátěžová třída 34</t>
  </si>
  <si>
    <t>196.</t>
  </si>
  <si>
    <t>77755-3513</t>
  </si>
  <si>
    <t>Antistatická epoxidová stěrka např.Floormax kompletní</t>
  </si>
  <si>
    <t>197.</t>
  </si>
  <si>
    <t>99877-6202</t>
  </si>
  <si>
    <t>Přesun hmot pro podlahy povlakové, výšky do 12m</t>
  </si>
  <si>
    <t>198.</t>
  </si>
  <si>
    <t>99877-6292</t>
  </si>
  <si>
    <t>Příplatek za zvětšený přesun,podlahy povlakové do 100m</t>
  </si>
  <si>
    <t>199.</t>
  </si>
  <si>
    <t>78110-1121</t>
  </si>
  <si>
    <t>Provedení penetrace podkladu vč.dodávky penetrace</t>
  </si>
  <si>
    <t>200.</t>
  </si>
  <si>
    <t>78111-1121</t>
  </si>
  <si>
    <t>Montáž lišt rohových kovových do tmele,výška profilu 8-10mm</t>
  </si>
  <si>
    <t>201.</t>
  </si>
  <si>
    <t>78111-1131</t>
  </si>
  <si>
    <t>Vyplnění dilatačních spár tmelem silikonovým</t>
  </si>
  <si>
    <t>202.</t>
  </si>
  <si>
    <t>78123-0121</t>
  </si>
  <si>
    <t>Mont. keram obkladu do tmele 20x40</t>
  </si>
  <si>
    <t>203.</t>
  </si>
  <si>
    <t>78132-0121</t>
  </si>
  <si>
    <t>Obkládání parapetů do tmele šířky do 30cm</t>
  </si>
  <si>
    <t>204.</t>
  </si>
  <si>
    <t>78195-0010</t>
  </si>
  <si>
    <t>Oprava- doplnění   stávajícího  keramického obkladu montáž</t>
  </si>
  <si>
    <t>205.</t>
  </si>
  <si>
    <t xml:space="preserve">Dodávka keramického obkladu 20x40 </t>
  </si>
  <si>
    <t>206.</t>
  </si>
  <si>
    <t>99878-1202</t>
  </si>
  <si>
    <t>Přesun hmot pro obklady keramické, výšky do 12m</t>
  </si>
  <si>
    <t>207.</t>
  </si>
  <si>
    <t>99878-1292</t>
  </si>
  <si>
    <t>Příplatek za zvětšený přesun,obklady keramické do 100m</t>
  </si>
  <si>
    <t>Malby, nátěry</t>
  </si>
  <si>
    <t>208.</t>
  </si>
  <si>
    <t>78411-1101</t>
  </si>
  <si>
    <t>Penetrace podkladu nátěrem v místnostech</t>
  </si>
  <si>
    <t>209.</t>
  </si>
  <si>
    <t>78445-2271</t>
  </si>
  <si>
    <t>Malba stěn a stropu akrylátový vnitřní  bílý místnost do 3,8m</t>
  </si>
  <si>
    <t>dtto položka penetrace</t>
  </si>
  <si>
    <t>210.</t>
  </si>
  <si>
    <t>78412-1101</t>
  </si>
  <si>
    <t>Penetrace podkladu nátěrem ve schodišti</t>
  </si>
  <si>
    <t>211.</t>
  </si>
  <si>
    <t>Malba stěn a stropu akrylátový vnitřní  bílý ve schodišti</t>
  </si>
  <si>
    <t>212.</t>
  </si>
  <si>
    <t>78322-2100</t>
  </si>
  <si>
    <t>Nátěr ocelových zárubní syntetický 2x</t>
  </si>
  <si>
    <t>1:NP</t>
  </si>
  <si>
    <t>25ks</t>
  </si>
  <si>
    <t>2:NP</t>
  </si>
  <si>
    <t>23ks</t>
  </si>
  <si>
    <t>3:NP</t>
  </si>
  <si>
    <t>213.</t>
  </si>
  <si>
    <t>78385-1112</t>
  </si>
  <si>
    <t>Nátěr hran průvlaků na omítku kontrastní</t>
  </si>
  <si>
    <t>Elektroinstalace-kabeláž – montáže</t>
  </si>
  <si>
    <t>214.</t>
  </si>
  <si>
    <t>21081-0110</t>
  </si>
  <si>
    <t>Kabel CYKY  3Jx2,5</t>
  </si>
  <si>
    <t>215.</t>
  </si>
  <si>
    <t>21081-0056</t>
  </si>
  <si>
    <t>Kabel CYKY 3B10</t>
  </si>
  <si>
    <t>216.</t>
  </si>
  <si>
    <t>21080-0011</t>
  </si>
  <si>
    <t>Kabel CYKY 3Jx4</t>
  </si>
  <si>
    <t>217.</t>
  </si>
  <si>
    <t>21080-0012</t>
  </si>
  <si>
    <t>Vodič CY25 zeleno žlutý</t>
  </si>
  <si>
    <t>218.</t>
  </si>
  <si>
    <t>21080-0013</t>
  </si>
  <si>
    <t>Vodič CY16 zeleno žlutý</t>
  </si>
  <si>
    <t>219.</t>
  </si>
  <si>
    <t>21080-0014</t>
  </si>
  <si>
    <t>Kabel UTP Cat6A</t>
  </si>
  <si>
    <t>Elektroinstalace-datový rozvaděč – montáže</t>
  </si>
  <si>
    <t>220.</t>
  </si>
  <si>
    <t>21001-0015</t>
  </si>
  <si>
    <t>Datový rozvaděč 42U 800x1000</t>
  </si>
  <si>
    <t>221.</t>
  </si>
  <si>
    <t>21001-0016</t>
  </si>
  <si>
    <t>Podstavec 800x1000</t>
  </si>
  <si>
    <t>222.</t>
  </si>
  <si>
    <t>21001-0017</t>
  </si>
  <si>
    <t>Kolečko s brzdou</t>
  </si>
  <si>
    <t>223.</t>
  </si>
  <si>
    <t>21001-0018</t>
  </si>
  <si>
    <t>Ventilační jednotka,6 ventilátorů,pro stojanový rozvadč bez termostatu</t>
  </si>
  <si>
    <t>224.</t>
  </si>
  <si>
    <t>21001-0019</t>
  </si>
  <si>
    <t>Ventilační jednotka 4 ventilátorů s digitálním termostatem vnitřní</t>
  </si>
  <si>
    <t>225.</t>
  </si>
  <si>
    <t>21001-0020</t>
  </si>
  <si>
    <t>Termostat</t>
  </si>
  <si>
    <t>226.</t>
  </si>
  <si>
    <t>21001-0021</t>
  </si>
  <si>
    <t>Police</t>
  </si>
  <si>
    <t>227.</t>
  </si>
  <si>
    <t>21001-0022</t>
  </si>
  <si>
    <t>19“ patch panel 1U, 24 portů C6A</t>
  </si>
  <si>
    <t>228.</t>
  </si>
  <si>
    <t>21001-0023</t>
  </si>
  <si>
    <t>Vyvazovací vertikální lišta, výška 42U</t>
  </si>
  <si>
    <t>229.</t>
  </si>
  <si>
    <t>21001-0024</t>
  </si>
  <si>
    <t>Vyvazovací panel</t>
  </si>
  <si>
    <t>230.</t>
  </si>
  <si>
    <t>21001-0025</t>
  </si>
  <si>
    <t>19“ napájecí panel 5x230V, 3m přívodní kabel, přepěťová ochrana</t>
  </si>
  <si>
    <t>231.</t>
  </si>
  <si>
    <t>21001-0026</t>
  </si>
  <si>
    <t>Nespecifikovaný drobný montážní materiál a pomocný materiál např.stahovací pásky</t>
  </si>
  <si>
    <t>Elektroinstalace-podružný rozvaděč – montáže</t>
  </si>
  <si>
    <t>232.</t>
  </si>
  <si>
    <t>21001-0027</t>
  </si>
  <si>
    <t>Rozvaděč plastový přisazený 72 modulů</t>
  </si>
  <si>
    <t>233.</t>
  </si>
  <si>
    <t>21001-0028</t>
  </si>
  <si>
    <t>Hlavní vypínač 63A/3L</t>
  </si>
  <si>
    <t>234.</t>
  </si>
  <si>
    <t>21001-0029</t>
  </si>
  <si>
    <t>Svodič přepětí</t>
  </si>
  <si>
    <t>235.</t>
  </si>
  <si>
    <t>21001-0030</t>
  </si>
  <si>
    <t>Chránič proudový kombinovaný 2p B 16A 30mA 10kA</t>
  </si>
  <si>
    <t>236.</t>
  </si>
  <si>
    <t>21001-0031</t>
  </si>
  <si>
    <t>Chránič proudový kombinovaný 2p B 20A 30mA 10kA</t>
  </si>
  <si>
    <t>237.</t>
  </si>
  <si>
    <t>21001-0032</t>
  </si>
  <si>
    <t>Lišta propojovací 3pól provedení (L1-N-L2-N-L3-N)-průřez 16mm2</t>
  </si>
  <si>
    <t>238.</t>
  </si>
  <si>
    <t>21001-0033</t>
  </si>
  <si>
    <t>Nespecifikovaný  pomocný materiál např.dutinky a propojovací vodiče</t>
  </si>
  <si>
    <t>Elektroinstalace-přístroje – montáže</t>
  </si>
  <si>
    <t>239.</t>
  </si>
  <si>
    <t>21001-0034</t>
  </si>
  <si>
    <t>Datová zásuvka 2xRJ45 cat 6A červená, vč.příslušenství</t>
  </si>
  <si>
    <t>240.</t>
  </si>
  <si>
    <t>21001-0035</t>
  </si>
  <si>
    <t>Zapojení  datového konce</t>
  </si>
  <si>
    <t>241.</t>
  </si>
  <si>
    <t>21001-0036</t>
  </si>
  <si>
    <t>Zásuvka 1-násobná s clonkami a popisovým polem červená</t>
  </si>
  <si>
    <t>242.</t>
  </si>
  <si>
    <t>21001-0037</t>
  </si>
  <si>
    <t>Rámeček pětinásobný červený</t>
  </si>
  <si>
    <t>243.</t>
  </si>
  <si>
    <t>21001-0038</t>
  </si>
  <si>
    <t>Rámeček čtyřnásobný červený</t>
  </si>
  <si>
    <t>244.</t>
  </si>
  <si>
    <t>21001-0039</t>
  </si>
  <si>
    <t>Rámeček dvojnásobný červený</t>
  </si>
  <si>
    <t>245.</t>
  </si>
  <si>
    <t>21001-0040</t>
  </si>
  <si>
    <t>Popisovací štítek</t>
  </si>
  <si>
    <t>246.</t>
  </si>
  <si>
    <t>21001-0041</t>
  </si>
  <si>
    <t>Krabice přístrojová KU86</t>
  </si>
  <si>
    <t>247.</t>
  </si>
  <si>
    <t>21001-0042</t>
  </si>
  <si>
    <t>Nespecifikovaný drobný montážní materiál a pomocný materiál např.šrouby,svorky</t>
  </si>
  <si>
    <t>Elektroinstalace- trasování – montáže</t>
  </si>
  <si>
    <t>248.</t>
  </si>
  <si>
    <t>21001-0043</t>
  </si>
  <si>
    <t>Kabelový žlab MARS 500x100</t>
  </si>
  <si>
    <t>249.</t>
  </si>
  <si>
    <t>21001-0044</t>
  </si>
  <si>
    <t>Přepážka žlabu</t>
  </si>
  <si>
    <t>250.</t>
  </si>
  <si>
    <t>21001-0045</t>
  </si>
  <si>
    <t>Nosník žlabu</t>
  </si>
  <si>
    <t>251.</t>
  </si>
  <si>
    <t>21001-0046</t>
  </si>
  <si>
    <t>Elektroinstalační trubka 25 včetně kolen</t>
  </si>
  <si>
    <t>252.</t>
  </si>
  <si>
    <t>21001-0047</t>
  </si>
  <si>
    <t>Elektroinstalační trubka 32 včetně kolen</t>
  </si>
  <si>
    <t>253.</t>
  </si>
  <si>
    <t>21001-0048</t>
  </si>
  <si>
    <t>Kabelová lišta plastová</t>
  </si>
  <si>
    <t>254.</t>
  </si>
  <si>
    <t>21001-0049</t>
  </si>
  <si>
    <t>Přepážka lišty</t>
  </si>
  <si>
    <t>255.</t>
  </si>
  <si>
    <t>21001-0050</t>
  </si>
  <si>
    <t>Pospojovací lanko</t>
  </si>
  <si>
    <t>256.</t>
  </si>
  <si>
    <t>21001-0051</t>
  </si>
  <si>
    <t>Držák svazkový</t>
  </si>
  <si>
    <t>257.</t>
  </si>
  <si>
    <t>21001-0052</t>
  </si>
  <si>
    <t>Hmoždinka a vrut</t>
  </si>
  <si>
    <t>Elektroinstalace- ostatní – montáže</t>
  </si>
  <si>
    <t>258.</t>
  </si>
  <si>
    <t>21001-0053</t>
  </si>
  <si>
    <t>Stahovací pásky</t>
  </si>
  <si>
    <t>259.</t>
  </si>
  <si>
    <t>21001-0054</t>
  </si>
  <si>
    <t>Napojení hlavního přívodu ve stávajícím rozvaděči včetně vypínače</t>
  </si>
  <si>
    <t>260.</t>
  </si>
  <si>
    <t>21001-0055</t>
  </si>
  <si>
    <t xml:space="preserve">Sádra stavební </t>
  </si>
  <si>
    <t>261.</t>
  </si>
  <si>
    <t>21001-0056</t>
  </si>
  <si>
    <t>Certifikační protokol strukturované kabeláže</t>
  </si>
  <si>
    <t>262.</t>
  </si>
  <si>
    <t>21001-0057</t>
  </si>
  <si>
    <t>Ravizní zpráva</t>
  </si>
  <si>
    <t>263.</t>
  </si>
  <si>
    <t>21001-0058</t>
  </si>
  <si>
    <t>Průrazy</t>
  </si>
  <si>
    <t>Elektroinstalace- osvětlovací zařízení ,svítidla – montáže</t>
  </si>
  <si>
    <t>264.</t>
  </si>
  <si>
    <t>H00</t>
  </si>
  <si>
    <t>265.</t>
  </si>
  <si>
    <t>H01</t>
  </si>
  <si>
    <t>Vypínač Tango bílý</t>
  </si>
  <si>
    <t>266.</t>
  </si>
  <si>
    <t>H02</t>
  </si>
  <si>
    <t>Svítidlo panel 40W 60x60cm montáž</t>
  </si>
  <si>
    <t>267.</t>
  </si>
  <si>
    <t>H03</t>
  </si>
  <si>
    <t>Příplatek za montáž svítidla na závěsy</t>
  </si>
  <si>
    <t>268.</t>
  </si>
  <si>
    <t>H04</t>
  </si>
  <si>
    <t>Svítidlo LED 18W  montáž</t>
  </si>
  <si>
    <t>269.</t>
  </si>
  <si>
    <t>3411-1036</t>
  </si>
  <si>
    <t>270.</t>
  </si>
  <si>
    <t>H05</t>
  </si>
  <si>
    <t>Demontáž stávajícíh svítidel</t>
  </si>
  <si>
    <t>Elektroinstalace – kabeláž -dodávka</t>
  </si>
  <si>
    <t>271.</t>
  </si>
  <si>
    <t>272.</t>
  </si>
  <si>
    <t>3411-1094</t>
  </si>
  <si>
    <t>273.</t>
  </si>
  <si>
    <t>3411-1100</t>
  </si>
  <si>
    <t>Kabel CYKY 4B10</t>
  </si>
  <si>
    <t>274.</t>
  </si>
  <si>
    <t>3414-1703</t>
  </si>
  <si>
    <t>Vodič CY25</t>
  </si>
  <si>
    <t>275.</t>
  </si>
  <si>
    <t>3414-1704</t>
  </si>
  <si>
    <t>Vodič CY16</t>
  </si>
  <si>
    <t>276.</t>
  </si>
  <si>
    <t>Elektroinstalace-datový rozvaděč – dodávka</t>
  </si>
  <si>
    <t>277.</t>
  </si>
  <si>
    <t>H001</t>
  </si>
  <si>
    <t>278.</t>
  </si>
  <si>
    <t>H002</t>
  </si>
  <si>
    <t>279.</t>
  </si>
  <si>
    <t>H003</t>
  </si>
  <si>
    <t>280.</t>
  </si>
  <si>
    <t>H004</t>
  </si>
  <si>
    <t>281.</t>
  </si>
  <si>
    <t>H005</t>
  </si>
  <si>
    <t>282.</t>
  </si>
  <si>
    <t>H006</t>
  </si>
  <si>
    <t>283.</t>
  </si>
  <si>
    <t>H007</t>
  </si>
  <si>
    <t>284.</t>
  </si>
  <si>
    <t>H008</t>
  </si>
  <si>
    <t>285.</t>
  </si>
  <si>
    <t>H009</t>
  </si>
  <si>
    <t>286.</t>
  </si>
  <si>
    <t>H010</t>
  </si>
  <si>
    <t>287.</t>
  </si>
  <si>
    <t>H011</t>
  </si>
  <si>
    <t>288.</t>
  </si>
  <si>
    <t>H012</t>
  </si>
  <si>
    <t>Elektroinstalace-podružný rozvaděč – dodávka</t>
  </si>
  <si>
    <t>289.</t>
  </si>
  <si>
    <t>H013</t>
  </si>
  <si>
    <t>290.</t>
  </si>
  <si>
    <t>H014</t>
  </si>
  <si>
    <t>291.</t>
  </si>
  <si>
    <t>H015</t>
  </si>
  <si>
    <t>292.</t>
  </si>
  <si>
    <t>H016</t>
  </si>
  <si>
    <t>293.</t>
  </si>
  <si>
    <t>H017</t>
  </si>
  <si>
    <t>294.</t>
  </si>
  <si>
    <t>H018</t>
  </si>
  <si>
    <t>295.</t>
  </si>
  <si>
    <t>H019</t>
  </si>
  <si>
    <t>Elektroinstalace-přístroje – dodávka</t>
  </si>
  <si>
    <t>296.</t>
  </si>
  <si>
    <t>H020</t>
  </si>
  <si>
    <t>297.</t>
  </si>
  <si>
    <t>H022</t>
  </si>
  <si>
    <t>298.</t>
  </si>
  <si>
    <t>H023</t>
  </si>
  <si>
    <t>299.</t>
  </si>
  <si>
    <t>H024</t>
  </si>
  <si>
    <t>300.</t>
  </si>
  <si>
    <t>H025</t>
  </si>
  <si>
    <t>301.</t>
  </si>
  <si>
    <t>H026</t>
  </si>
  <si>
    <t>302.</t>
  </si>
  <si>
    <t>H027</t>
  </si>
  <si>
    <t>303.</t>
  </si>
  <si>
    <t>H028</t>
  </si>
  <si>
    <t>Elektroinstalace- trasování – dodávka</t>
  </si>
  <si>
    <t>304.</t>
  </si>
  <si>
    <t>H029</t>
  </si>
  <si>
    <t>305.</t>
  </si>
  <si>
    <t>H030</t>
  </si>
  <si>
    <t>306.</t>
  </si>
  <si>
    <t>H031</t>
  </si>
  <si>
    <t>307.</t>
  </si>
  <si>
    <t>H032</t>
  </si>
  <si>
    <t>308.</t>
  </si>
  <si>
    <t>H033</t>
  </si>
  <si>
    <t>309.</t>
  </si>
  <si>
    <t>H034</t>
  </si>
  <si>
    <t>310.</t>
  </si>
  <si>
    <t>H035</t>
  </si>
  <si>
    <t>311.</t>
  </si>
  <si>
    <t>H036</t>
  </si>
  <si>
    <t>312.</t>
  </si>
  <si>
    <t>H037</t>
  </si>
  <si>
    <t>313.</t>
  </si>
  <si>
    <t>H038</t>
  </si>
  <si>
    <t>Elektroinstalace- ostatní – dodávka</t>
  </si>
  <si>
    <t>314.</t>
  </si>
  <si>
    <t>H039</t>
  </si>
  <si>
    <t>315.</t>
  </si>
  <si>
    <t>H040</t>
  </si>
  <si>
    <t>316.</t>
  </si>
  <si>
    <t>H041</t>
  </si>
  <si>
    <t>317.</t>
  </si>
  <si>
    <t>H042</t>
  </si>
  <si>
    <t>318.</t>
  </si>
  <si>
    <t>H043</t>
  </si>
  <si>
    <t>Revizní zpráva</t>
  </si>
  <si>
    <t>319.</t>
  </si>
  <si>
    <t>H044</t>
  </si>
  <si>
    <t>Elektroinstalace- osvětlovací zařízení ,svítidla – dodávka</t>
  </si>
  <si>
    <t>320.</t>
  </si>
  <si>
    <t>321.</t>
  </si>
  <si>
    <t>322.</t>
  </si>
  <si>
    <t>Svítidlo WO10 LED panel 40W 60x60cm,  4400 lm, 4100K</t>
  </si>
  <si>
    <t>323.</t>
  </si>
  <si>
    <t>Svítidlo WO08 LED panel 40W 60x60cm,  3200lm, 4100K</t>
  </si>
  <si>
    <t>324.</t>
  </si>
  <si>
    <t>Hliníkový instalační rám  WO902 pro LED panely</t>
  </si>
  <si>
    <t>325.</t>
  </si>
  <si>
    <t>Závěsy a kotvící materiál pro zavěšená svítidla</t>
  </si>
  <si>
    <t>326.</t>
  </si>
  <si>
    <t>H06</t>
  </si>
  <si>
    <t>Svítidlo LED 18W LENYS</t>
  </si>
  <si>
    <t>327.</t>
  </si>
  <si>
    <t>328.</t>
  </si>
  <si>
    <t>H07</t>
  </si>
  <si>
    <t>Svorka včetně  připojovací pásky</t>
  </si>
  <si>
    <t>329.</t>
  </si>
  <si>
    <t>72811-2112</t>
  </si>
  <si>
    <t xml:space="preserve">Kruhové potrubí DN100mm  včetně tvarovek a dodávky </t>
  </si>
  <si>
    <t>1.06,1.09a</t>
  </si>
  <si>
    <t>2.12-13,2.15</t>
  </si>
  <si>
    <t>330.</t>
  </si>
  <si>
    <t>72861-4614</t>
  </si>
  <si>
    <t>Ventilátory elektrické s doběhem o objemu průtoku 90m3/h montáž vč.dodávky</t>
  </si>
  <si>
    <t>331.</t>
  </si>
  <si>
    <t>72861-4900</t>
  </si>
  <si>
    <t>Montážní a spojovací materiál</t>
  </si>
  <si>
    <t>332.</t>
  </si>
  <si>
    <t>72841-5111</t>
  </si>
  <si>
    <t>Mřížky ,regulátory montáž čtyřhranné větrací nebo ventilační mřížky,vč.dodávky</t>
  </si>
  <si>
    <t>333.</t>
  </si>
  <si>
    <t>72841-5110</t>
  </si>
  <si>
    <t xml:space="preserve">Venkovní klimatizační jednotka např. Daikin Emura RXG-50L montáž </t>
  </si>
  <si>
    <t>vč.dodávky jednotky, uchycení</t>
  </si>
  <si>
    <t>334.</t>
  </si>
  <si>
    <t>Vnitřní klimatizační jednotka např. Daikin Emura FTXG-50LW/S montáž</t>
  </si>
  <si>
    <t>vč.dodávky jednotky, uchycení, odvodu kondenzátu</t>
  </si>
  <si>
    <t>335.</t>
  </si>
  <si>
    <t>72841-9000</t>
  </si>
  <si>
    <t>Demontáž  klimatizační jednotky 2.18</t>
  </si>
  <si>
    <t>336.</t>
  </si>
  <si>
    <t>Zednické přípomoce pro vzduchotechniku</t>
  </si>
  <si>
    <t>337.</t>
  </si>
  <si>
    <t>99872-8101</t>
  </si>
  <si>
    <t>Přesun hmot pro vzduchotechniku, výšky do 12m</t>
  </si>
  <si>
    <t>338.</t>
  </si>
  <si>
    <t>99872-9292</t>
  </si>
  <si>
    <t>Příplatek za zvětšený přesun, do 100m</t>
  </si>
  <si>
    <t>Vedlejší  a ostatní náklady</t>
  </si>
  <si>
    <t>339.</t>
  </si>
  <si>
    <t>Zřízení zařízení staveniště</t>
  </si>
  <si>
    <t>Oplocení,mobilní šatna,mobilní WC</t>
  </si>
  <si>
    <t>340.</t>
  </si>
  <si>
    <t>Provoz zařízení staveniště</t>
  </si>
  <si>
    <t>měs</t>
  </si>
  <si>
    <t>Nájmy, energie pro provoz stveniště</t>
  </si>
  <si>
    <t>341.</t>
  </si>
  <si>
    <t>Likvidace zařízení staveniště</t>
  </si>
  <si>
    <t>342.</t>
  </si>
  <si>
    <t xml:space="preserve">Projekt skutečného provedení </t>
  </si>
  <si>
    <t>343.</t>
  </si>
  <si>
    <t>Potřebné revize a zkoušky ke kolaudaci stavby</t>
  </si>
  <si>
    <t>Revize  elekktroinstalace, tlakové zkoušky instalací, měření osvětlení</t>
  </si>
  <si>
    <t>344.</t>
  </si>
  <si>
    <t>Účast na kontrolních dnec, předání a převzetí staveniště a díla</t>
  </si>
  <si>
    <t>V případě, že soupis prací s výkazem výměr obsahuje odkazy na obchodní firmy, názvy nebo jména a příjmení a specifická označení ,</t>
  </si>
  <si>
    <t>zadavatel připouští pro plnění veřejné zakázky použít i jiných kvalitativně a technicky obdobných řešení.</t>
  </si>
  <si>
    <t>Jednotlivé části a konstrukce popsané ve výkazu výměr jsou dále popsány ve zmíněné projektové dokumentaci.</t>
  </si>
  <si>
    <t>U položek kde není samostatnými položkami uvedena zvlášť montáž a zvlášť dodávka je dodávka a montáž součástí jedné položky a</t>
  </si>
  <si>
    <t>takto musí být uchazečem o veřejnou zakázku oceněna. Součástí položky je i spojovací a montážní materiál.</t>
  </si>
  <si>
    <t>Zakrývání výplní otvorů a předmětů apod.</t>
  </si>
  <si>
    <t>76681-0011</t>
  </si>
  <si>
    <t>Demontáž dřevěného výdejního pultu</t>
  </si>
  <si>
    <t>76681-0015</t>
  </si>
  <si>
    <t>Demontáž kuchyňské technologie včetně připojení</t>
  </si>
  <si>
    <t xml:space="preserve">Demontáž umyvadel (dřezů) včetně baterie </t>
  </si>
  <si>
    <t>Drobný montážní materiál a pomocný materiál např.stahovací pásky</t>
  </si>
  <si>
    <t>Demontáž  technologie vzduchotechniky kuchyně</t>
  </si>
  <si>
    <t>72841-9001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</si>
  <si>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</si>
  <si>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</si>
  <si>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</si>
  <si>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</si>
  <si>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</si>
  <si>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</si>
  <si>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</si>
  <si>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</si>
  <si>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</si>
  <si>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1.33,1.34</t>
  </si>
  <si>
    <t>12ks</t>
  </si>
  <si>
    <t>1.24-1.35</t>
  </si>
  <si>
    <t>7 kusů</t>
  </si>
  <si>
    <t>1.30 - 1.32</t>
  </si>
  <si>
    <t>17ks</t>
  </si>
  <si>
    <t>16ks</t>
  </si>
  <si>
    <t>70x197-5ks</t>
  </si>
  <si>
    <t>80x197-5ks</t>
  </si>
  <si>
    <t>80x197 PO-3ks</t>
  </si>
  <si>
    <t>13ks</t>
  </si>
  <si>
    <t>8ks</t>
  </si>
  <si>
    <t>Montáž a dodávka kuchyňské linky dl. 2,4M</t>
  </si>
  <si>
    <t>m.č.1.33</t>
  </si>
  <si>
    <t>1.33-1.34</t>
  </si>
  <si>
    <t>omítka pod stávajícími obklady</t>
  </si>
  <si>
    <t>97103-3651</t>
  </si>
  <si>
    <t>Vybourání otv.zeď cihel. pl.4m2, tl.35cm,MVC</t>
  </si>
  <si>
    <t>41320-0011</t>
  </si>
  <si>
    <t>Dodatečné osazení válcovaných nosníků, vysekání kapes,I č.16,zazdívka zhlaví</t>
  </si>
  <si>
    <t>(2xIPE 160 -1,6*4) = 6,4</t>
  </si>
  <si>
    <t>721174045U00</t>
  </si>
  <si>
    <t>Kanal potr PP připoj DN 125</t>
  </si>
  <si>
    <t>Vyvedení odpadních výpustek D 50 x 1,8</t>
  </si>
  <si>
    <t>Potrubí z PPR Instaplast,  D 25/3,5 mm</t>
  </si>
  <si>
    <t>Sifon bílý plastový</t>
  </si>
  <si>
    <t>ležatá kanalizace</t>
  </si>
  <si>
    <t>83135-0012</t>
  </si>
  <si>
    <t>Kanalizace z trub PVC D125 ležatá,včetně rýhy,obsypů</t>
  </si>
  <si>
    <t>63131-2141</t>
  </si>
  <si>
    <t>Doplnění rýh betonem v dosavadních mazaninách</t>
  </si>
  <si>
    <t>ležatá kanalizace-podkladní beton vyztužený</t>
  </si>
  <si>
    <t>beton.mazanina podlahy</t>
  </si>
  <si>
    <t>71114-0014</t>
  </si>
  <si>
    <t>Izolace proti vodě vodorovná vč.dodávky lepenky</t>
  </si>
  <si>
    <t>Změna stavby před dokončením PPP A SPC VYSOČINA- REKONSTRUKCE BUDOVY PRO PRACOVIŠTĚ HAVLÍČKŮV BROD, U PANSKÝCH Č.P.1452 HAVLÍČKŮV BROD</t>
  </si>
  <si>
    <t>Prostory  psychologie + archív</t>
  </si>
  <si>
    <t>733162510R00</t>
  </si>
  <si>
    <t>Hzs-zkousky v ramci montaz.praci Topná zkouška</t>
  </si>
  <si>
    <t>735511062U00</t>
  </si>
  <si>
    <t>735511084U00</t>
  </si>
  <si>
    <t>998735299R00</t>
  </si>
  <si>
    <t>Přesun, otopná tělesa</t>
  </si>
  <si>
    <t>soubor</t>
  </si>
  <si>
    <t>Potrubí měděné Supersan 15 x 1,5 mm, tvrdé včetně tvarovek</t>
  </si>
  <si>
    <t>72218-1214RT5</t>
  </si>
  <si>
    <t>Izolace potrubí z pěnového polyetylenu,tloušťka stěny 20mm, D15</t>
  </si>
  <si>
    <t>733191923R00</t>
  </si>
  <si>
    <t>Opravy rozvodu potrubí z ocelových trubek závitových normálních i zesílených
 navaření odbočky na dosavadní potrubí, DN 15</t>
  </si>
  <si>
    <t>733113113R00</t>
  </si>
  <si>
    <t>Potrubí z trubek závitových příplatek k ceně za zhotovení přípojky z ocelových trubek závitových,  ,  , DN 15</t>
  </si>
  <si>
    <t>Otopné těleso VK11-60/50</t>
  </si>
  <si>
    <t>Otopné těleso VK 11- 60/60</t>
  </si>
  <si>
    <t>Otonné těleso VK 21- 60/180</t>
  </si>
  <si>
    <t>31023-7271</t>
  </si>
  <si>
    <t>Zazdívka otvorů pl.0,25m2 cihlami, tl. zdi 75cm</t>
  </si>
  <si>
    <t>97408-2112</t>
  </si>
  <si>
    <t>Vysekání rýh pro vodiče omítka stěn MVC šířka 10cm</t>
  </si>
  <si>
    <t>97408-2175</t>
  </si>
  <si>
    <t>Vysekání rýh pro vodiče omítka stropů MVC šířka 10cm</t>
  </si>
  <si>
    <t>1.34,1.30,1.24</t>
  </si>
  <si>
    <t>Elektroinstalace- osvětlovací zařízení montáže</t>
  </si>
  <si>
    <t>Elektroinstalace - osvětlovací zařízení dodávka</t>
  </si>
  <si>
    <t>EVS</t>
  </si>
  <si>
    <t>Popis</t>
  </si>
  <si>
    <t>materiál</t>
  </si>
  <si>
    <t>montáž</t>
  </si>
  <si>
    <t>celkem</t>
  </si>
  <si>
    <t>počet</t>
  </si>
  <si>
    <t>mj</t>
  </si>
  <si>
    <t>cena/mj</t>
  </si>
  <si>
    <t>Kč</t>
  </si>
  <si>
    <t>Celkem</t>
  </si>
  <si>
    <t>kabel UTP Cat6A</t>
  </si>
  <si>
    <t>Monitor 7" VTH1550CH</t>
  </si>
  <si>
    <t>Instalační krabice pod omítku pro tři moduly</t>
  </si>
  <si>
    <t>Instalační rámeček pro 3 moduly</t>
  </si>
  <si>
    <t>Venkovní stříška pro tři moduly</t>
  </si>
  <si>
    <t>Síťový adaptér určený pro napájení dveřních zámků</t>
  </si>
  <si>
    <t>el. zámek nízkoodběrový, s aretací</t>
  </si>
  <si>
    <t>Kabel JYTY 2x1</t>
  </si>
  <si>
    <t>krabice přístrojová KU68</t>
  </si>
  <si>
    <t>Průraz stropem</t>
  </si>
  <si>
    <t>Sádra stavební</t>
  </si>
  <si>
    <t>kpl</t>
  </si>
  <si>
    <t>elektroinstalační trubka 25 včetně kolen</t>
  </si>
  <si>
    <t>PZTS</t>
  </si>
  <si>
    <t>Ústředna JA-107 KRY</t>
  </si>
  <si>
    <t>Naprogramování</t>
  </si>
  <si>
    <t>Akumulátor SA214-18</t>
  </si>
  <si>
    <t>Ústředna JA-103 K</t>
  </si>
  <si>
    <t>Akumulátor SA214-2.6</t>
  </si>
  <si>
    <t>Magnetický detektor JA-111M</t>
  </si>
  <si>
    <t>PIR detektor pohybu JA-110P</t>
  </si>
  <si>
    <t>PIR detektor pohybu s detekcí rozbití skla JA-120PB</t>
  </si>
  <si>
    <t>Vnitřní siréna JA-110A</t>
  </si>
  <si>
    <t>Klávesnice JA-113E</t>
  </si>
  <si>
    <t>Klávesnice JA-114E</t>
  </si>
  <si>
    <t>Rozšiřující segment JA-192E</t>
  </si>
  <si>
    <t>Bezdrátový detektor kouře JA-151ST</t>
  </si>
  <si>
    <t>Baterie BAT-1V5-AA</t>
  </si>
  <si>
    <t>Bezdrátový detektor ořesu a náklonu JA-182SH</t>
  </si>
  <si>
    <t>Baterie BAT-3V0-CR123A</t>
  </si>
  <si>
    <t>Venkovní siréna JA-111A-BASE-RB</t>
  </si>
  <si>
    <t>Kryt  sirény nerezový JA-1X1-C-ST</t>
  </si>
  <si>
    <t>Instalační kabel CC-01</t>
  </si>
  <si>
    <t>Modul PG výstupů JB-118N</t>
  </si>
  <si>
    <t>Modul připojení drátových vstupů JA-116H</t>
  </si>
  <si>
    <t>Modul ovládání sistému JA-111H-AD TRB</t>
  </si>
  <si>
    <t>nespecifikovaný drobný montážní a pomocný materiál např. stahovací pásky</t>
  </si>
  <si>
    <t>Soupis prací a dodávek</t>
  </si>
  <si>
    <t>PZTS a EVS</t>
  </si>
  <si>
    <t>Objekt :</t>
  </si>
  <si>
    <t>Název objektu :</t>
  </si>
  <si>
    <t>Název stavby :</t>
  </si>
  <si>
    <t>Zakázkové číslo :</t>
  </si>
  <si>
    <t>Projektant :</t>
  </si>
  <si>
    <t>Objednatel :</t>
  </si>
  <si>
    <t>Počet listů :</t>
  </si>
  <si>
    <t>Rozpočtové náklady</t>
  </si>
  <si>
    <t>Ostatní rozpočtové náklady</t>
  </si>
  <si>
    <t>Dodávka celkem</t>
  </si>
  <si>
    <t>Likvidace odpadu, úklid</t>
  </si>
  <si>
    <t>Montáž celkem</t>
  </si>
  <si>
    <t>Mimostaveništní, doprava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</si>
  <si>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</si>
  <si>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</si>
  <si>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</si>
  <si>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</si>
  <si>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</si>
  <si>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</si>
  <si>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</si>
  <si>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</si>
  <si>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</si>
  <si>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</si>
  <si>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</si>
  <si>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Slaboproud PZTS a EVS</t>
  </si>
  <si>
    <t>Pokyny pro práci se soupisem prací</t>
  </si>
  <si>
    <t>1) Součástí ceny jednotlivých stavebních prací je i spotřeba energií v průběhu výstavby včetně zajištění povolení jejich odběru.</t>
  </si>
  <si>
    <t>2) Součástí uložení výkopku na skládku je i Protokol o vyluhovatelnosti odpadů a třídy vychovatelnosti podle přílohy 2 vyhlášky 294/2005 Sb. Náklad na tento protokol musí uchazeč započítat do položky skládkovného.</t>
  </si>
  <si>
    <t xml:space="preserve">3) Součástí dodávky jednotlivých prvků stavby (např. prvky PSV) je i výrobní dokumentace těchto jednotlivých prvků. </t>
  </si>
  <si>
    <t>4) Nedílnou přílohou soupisu prací je mimo jiné projektová dokumentace skut.provedení stavby .</t>
  </si>
  <si>
    <t>5) U položek kde není samostatnými položkami uvedena zvlášť montáž a zvlášť dodávka je dodávka a montáž součástí jedné položky a takto musí být uchazečem o veřejnou zakázku oceněna.</t>
  </si>
  <si>
    <t>6) V případě, že uchazeč činící nabídku nebude schopen určit rozsah či věcnou náplň některé z položek z výkazu výměr, je povinen v rámci zadávacího řízení učinit dotaz za účelem zjištění náplně položky, pakliže tak neučiní, bere se, že je mu obsah všech položek znám a v průběhu stavby nebude brán zřetel na případná nedorozumění a požadavky na vícepráce vzniklé nepochopením rozsahu a obsahu jednotlivých položek.</t>
  </si>
  <si>
    <t>7) Je-li uvedeno v názvu položky D+M, jedná se o dodávku včetně montáže, součástí takové položky je kromě hlavního materiálu i pomocný materiál nutný k montáži (lepidla, hmoždinky, šrouby, apod.)</t>
  </si>
  <si>
    <t>8) U veškerých položek (pokud není u položky uvedeno jinak) je množství uvedeno bez prořezu, prořez je nutné započítat do cen položek dle zvyklostí dodavatele, požadavky na vícepráce z titulu vzniku prořezu nebudou v rámci stavby uznány jako oprávněné.</t>
  </si>
  <si>
    <t>10) Tyto pokyny platí pro všechny jednotlivé soupisy prací.</t>
  </si>
  <si>
    <t xml:space="preserve">9) Položky vycházejí z cenové soustavy RTS. Rozsah těchto položek je dopřesněn  textem a těmito podmínkami rozšířen nad rámec specifikace cenové soustavy RTS.         </t>
  </si>
  <si>
    <t>Izolace potrubí návleková  DN 20/15mm</t>
  </si>
  <si>
    <t>Izolace potrubí návleková DN 25/20mm</t>
  </si>
  <si>
    <t>Potrubí z PPR , studená, D 20/2,8 mm</t>
  </si>
  <si>
    <t>Potrubí z PPR , studená, D 25/3,5 mm</t>
  </si>
  <si>
    <t>Zátka na vodovodní potrubí do DN25</t>
  </si>
  <si>
    <t>Potrubí měděné  22 x 1,5 mm, tvrdé</t>
  </si>
  <si>
    <t>Hlavice termostatická  pro veřejné prostory</t>
  </si>
  <si>
    <t xml:space="preserve">Ventil termostatický </t>
  </si>
  <si>
    <t>Vypínač např. Tango bílý</t>
  </si>
  <si>
    <t xml:space="preserve">PoE switch pro napájení vstupních jednotek a monitorů </t>
  </si>
  <si>
    <t xml:space="preserve">Napájecí zdroj určený pro napájení switche </t>
  </si>
  <si>
    <t>Hlavní IP dveřní modul s kamerou např. VTO2000A-C</t>
  </si>
  <si>
    <t>Rozšiřující dveřní modul s 5 tlačítky např. VTO2000A-C</t>
  </si>
  <si>
    <t>Rozšiřující dveřní modul s 3 tlačítky např. VTO2000A-C</t>
  </si>
  <si>
    <t>Záslepka velikosti jednoho modulu  např. VTO2000A-C</t>
  </si>
  <si>
    <t>Vypínač např.  Tango bílý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</si>
</sst>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0.0%"/>
    <numFmt numFmtId="166" formatCode="dd/\ mmm/"/>
    <numFmt numFmtId="167" formatCode="0.000000"/>
    <numFmt numFmtId="168" formatCode="0.0000"/>
    <numFmt numFmtId="169" formatCode="#,##0.000"/>
    <numFmt numFmtId="170" formatCode="#,##0.0"/>
    <numFmt numFmtId="171" formatCode="0.00000"/>
    <numFmt numFmtId="172" formatCode="#,##0.00000"/>
    <numFmt numFmtId="173" formatCode="mm/\ yy"/>
    <numFmt numFmtId="174" formatCode="#,##0.\-"/>
    <numFmt numFmtId="175" formatCode="#,##0.00\ [$Kč-405];[Red]\-#,##0.00\ [$Kč-405]"/>
    <numFmt numFmtId="176" formatCode="#,##0_ ;\-#,##0\ "/>
    <numFmt numFmtId="177" formatCode="0.000"/>
  </numFmts>
  <fonts count="66">
    <font>
      <sz val="10"/>
      <name val="Arial CE"/>
      <family val="2"/>
    </font>
    <font>
      <sz val="10"/>
      <name val="Arial"/>
      <family val="0"/>
    </font>
    <font>
      <sz val="10"/>
      <name val="Century Gothic"/>
      <family val="2"/>
    </font>
    <font>
      <b/>
      <sz val="18"/>
      <name val="Century Gothic"/>
      <family val="2"/>
    </font>
    <font>
      <b/>
      <sz val="14"/>
      <name val="Arial CE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i/>
      <sz val="14"/>
      <name val="Century Gothic"/>
      <family val="2"/>
    </font>
    <font>
      <b/>
      <i/>
      <sz val="10"/>
      <name val="Century Gothic"/>
      <family val="2"/>
    </font>
    <font>
      <b/>
      <i/>
      <sz val="16"/>
      <name val="Century Gothic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 CE"/>
      <family val="2"/>
    </font>
    <font>
      <i/>
      <sz val="9"/>
      <name val="Arial"/>
      <family val="2"/>
    </font>
    <font>
      <sz val="10"/>
      <name val="Arial Unicode MS"/>
      <family val="2"/>
    </font>
    <font>
      <sz val="14"/>
      <name val="Arial Unicode MS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3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0" fontId="2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164" fontId="7" fillId="33" borderId="19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left"/>
    </xf>
    <xf numFmtId="164" fontId="8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left"/>
    </xf>
    <xf numFmtId="164" fontId="10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34" borderId="27" xfId="0" applyFont="1" applyFill="1" applyBorder="1" applyAlignment="1">
      <alignment/>
    </xf>
    <xf numFmtId="0" fontId="11" fillId="34" borderId="28" xfId="0" applyFont="1" applyFill="1" applyBorder="1" applyAlignment="1">
      <alignment/>
    </xf>
    <xf numFmtId="0" fontId="12" fillId="34" borderId="28" xfId="0" applyFont="1" applyFill="1" applyBorder="1" applyAlignment="1">
      <alignment horizontal="left"/>
    </xf>
    <xf numFmtId="0" fontId="2" fillId="34" borderId="29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2" fillId="34" borderId="30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2" fillId="34" borderId="31" xfId="0" applyFont="1" applyFill="1" applyBorder="1" applyAlignment="1">
      <alignment horizontal="left"/>
    </xf>
    <xf numFmtId="0" fontId="2" fillId="34" borderId="3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14" fillId="0" borderId="0" xfId="0" applyFont="1" applyBorder="1" applyAlignment="1">
      <alignment horizontal="right"/>
    </xf>
    <xf numFmtId="14" fontId="15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27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left"/>
      <protection locked="0"/>
    </xf>
    <xf numFmtId="4" fontId="1" fillId="0" borderId="22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 applyProtection="1">
      <alignment/>
      <protection locked="0"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5" fillId="34" borderId="27" xfId="0" applyFont="1" applyFill="1" applyBorder="1" applyAlignment="1" applyProtection="1">
      <alignment/>
      <protection locked="0"/>
    </xf>
    <xf numFmtId="4" fontId="15" fillId="34" borderId="29" xfId="0" applyNumberFormat="1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18" fillId="35" borderId="33" xfId="0" applyFont="1" applyFill="1" applyBorder="1" applyAlignment="1">
      <alignment horizontal="left"/>
    </xf>
    <xf numFmtId="0" fontId="18" fillId="34" borderId="33" xfId="0" applyFont="1" applyFill="1" applyBorder="1" applyAlignment="1">
      <alignment horizontal="left" vertical="center"/>
    </xf>
    <xf numFmtId="0" fontId="18" fillId="34" borderId="33" xfId="0" applyFont="1" applyFill="1" applyBorder="1" applyAlignment="1">
      <alignment vertical="center"/>
    </xf>
    <xf numFmtId="4" fontId="18" fillId="34" borderId="33" xfId="0" applyNumberFormat="1" applyFont="1" applyFill="1" applyBorder="1" applyAlignment="1">
      <alignment vertical="center"/>
    </xf>
    <xf numFmtId="4" fontId="18" fillId="34" borderId="33" xfId="0" applyNumberFormat="1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6" fillId="0" borderId="33" xfId="0" applyFont="1" applyBorder="1" applyAlignment="1">
      <alignment horizontal="left"/>
    </xf>
    <xf numFmtId="0" fontId="18" fillId="0" borderId="33" xfId="0" applyFont="1" applyBorder="1" applyAlignment="1">
      <alignment horizontal="left" vertical="center"/>
    </xf>
    <xf numFmtId="0" fontId="18" fillId="0" borderId="33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33" xfId="0" applyFont="1" applyBorder="1" applyAlignment="1" applyProtection="1">
      <alignment horizontal="left" vertical="center"/>
      <protection locked="0"/>
    </xf>
    <xf numFmtId="4" fontId="16" fillId="0" borderId="33" xfId="0" applyNumberFormat="1" applyFont="1" applyBorder="1" applyAlignment="1">
      <alignment/>
    </xf>
    <xf numFmtId="4" fontId="16" fillId="0" borderId="33" xfId="0" applyNumberFormat="1" applyFont="1" applyBorder="1" applyAlignment="1" applyProtection="1">
      <alignment horizontal="right" vertical="center"/>
      <protection locked="0"/>
    </xf>
    <xf numFmtId="0" fontId="16" fillId="0" borderId="33" xfId="0" applyFont="1" applyBorder="1" applyAlignment="1" applyProtection="1">
      <alignment horizontal="right" vertical="center"/>
      <protection locked="0"/>
    </xf>
    <xf numFmtId="0" fontId="17" fillId="0" borderId="33" xfId="0" applyFont="1" applyBorder="1" applyAlignment="1">
      <alignment horizontal="left"/>
    </xf>
    <xf numFmtId="0" fontId="17" fillId="0" borderId="33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>
      <alignment/>
    </xf>
    <xf numFmtId="4" fontId="17" fillId="0" borderId="33" xfId="0" applyNumberFormat="1" applyFont="1" applyBorder="1" applyAlignment="1">
      <alignment/>
    </xf>
    <xf numFmtId="4" fontId="17" fillId="0" borderId="33" xfId="0" applyNumberFormat="1" applyFont="1" applyBorder="1" applyAlignment="1" applyProtection="1">
      <alignment horizontal="right" vertical="center"/>
      <protection locked="0"/>
    </xf>
    <xf numFmtId="0" fontId="17" fillId="0" borderId="34" xfId="0" applyFont="1" applyBorder="1" applyAlignment="1">
      <alignment horizontal="left"/>
    </xf>
    <xf numFmtId="0" fontId="17" fillId="0" borderId="34" xfId="0" applyFont="1" applyBorder="1" applyAlignment="1">
      <alignment horizontal="right"/>
    </xf>
    <xf numFmtId="0" fontId="16" fillId="0" borderId="34" xfId="0" applyFont="1" applyBorder="1" applyAlignment="1">
      <alignment/>
    </xf>
    <xf numFmtId="0" fontId="17" fillId="0" borderId="34" xfId="0" applyFont="1" applyBorder="1" applyAlignment="1">
      <alignment/>
    </xf>
    <xf numFmtId="4" fontId="17" fillId="0" borderId="34" xfId="0" applyNumberFormat="1" applyFont="1" applyBorder="1" applyAlignment="1">
      <alignment/>
    </xf>
    <xf numFmtId="4" fontId="17" fillId="0" borderId="34" xfId="0" applyNumberFormat="1" applyFont="1" applyBorder="1" applyAlignment="1" applyProtection="1">
      <alignment horizontal="right" vertical="center"/>
      <protection locked="0"/>
    </xf>
    <xf numFmtId="0" fontId="16" fillId="35" borderId="35" xfId="0" applyFont="1" applyFill="1" applyBorder="1" applyAlignment="1">
      <alignment horizontal="left"/>
    </xf>
    <xf numFmtId="0" fontId="16" fillId="34" borderId="21" xfId="0" applyFont="1" applyFill="1" applyBorder="1" applyAlignment="1">
      <alignment horizontal="left"/>
    </xf>
    <xf numFmtId="0" fontId="18" fillId="34" borderId="21" xfId="0" applyFont="1" applyFill="1" applyBorder="1" applyAlignment="1">
      <alignment vertical="center"/>
    </xf>
    <xf numFmtId="0" fontId="16" fillId="34" borderId="22" xfId="0" applyFont="1" applyFill="1" applyBorder="1" applyAlignment="1">
      <alignment/>
    </xf>
    <xf numFmtId="4" fontId="16" fillId="34" borderId="22" xfId="0" applyNumberFormat="1" applyFont="1" applyFill="1" applyBorder="1" applyAlignment="1">
      <alignment/>
    </xf>
    <xf numFmtId="4" fontId="16" fillId="34" borderId="23" xfId="0" applyNumberFormat="1" applyFont="1" applyFill="1" applyBorder="1" applyAlignment="1">
      <alignment/>
    </xf>
    <xf numFmtId="4" fontId="18" fillId="34" borderId="17" xfId="0" applyNumberFormat="1" applyFont="1" applyFill="1" applyBorder="1" applyAlignment="1">
      <alignment horizontal="right" vertical="center"/>
    </xf>
    <xf numFmtId="0" fontId="16" fillId="0" borderId="34" xfId="0" applyFont="1" applyBorder="1" applyAlignment="1">
      <alignment horizontal="left"/>
    </xf>
    <xf numFmtId="0" fontId="16" fillId="0" borderId="34" xfId="0" applyFont="1" applyBorder="1" applyAlignment="1" applyProtection="1">
      <alignment horizontal="left" vertical="center"/>
      <protection locked="0"/>
    </xf>
    <xf numFmtId="0" fontId="16" fillId="0" borderId="34" xfId="0" applyFont="1" applyBorder="1" applyAlignment="1">
      <alignment/>
    </xf>
    <xf numFmtId="4" fontId="16" fillId="0" borderId="34" xfId="0" applyNumberFormat="1" applyFont="1" applyBorder="1" applyAlignment="1">
      <alignment/>
    </xf>
    <xf numFmtId="4" fontId="16" fillId="0" borderId="34" xfId="0" applyNumberFormat="1" applyFont="1" applyBorder="1" applyAlignment="1" applyProtection="1">
      <alignment horizontal="right" vertical="center"/>
      <protection locked="0"/>
    </xf>
    <xf numFmtId="0" fontId="18" fillId="0" borderId="27" xfId="0" applyFont="1" applyBorder="1" applyAlignment="1">
      <alignment horizontal="left"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4" fontId="18" fillId="0" borderId="22" xfId="0" applyNumberFormat="1" applyFont="1" applyBorder="1" applyAlignment="1">
      <alignment vertical="center"/>
    </xf>
    <xf numFmtId="4" fontId="18" fillId="0" borderId="29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horizontal="left" vertical="center"/>
    </xf>
    <xf numFmtId="0" fontId="16" fillId="0" borderId="33" xfId="0" applyFont="1" applyBorder="1" applyAlignment="1">
      <alignment wrapText="1"/>
    </xf>
    <xf numFmtId="0" fontId="16" fillId="0" borderId="33" xfId="0" applyFont="1" applyBorder="1" applyAlignment="1">
      <alignment vertical="center"/>
    </xf>
    <xf numFmtId="4" fontId="16" fillId="0" borderId="33" xfId="0" applyNumberFormat="1" applyFont="1" applyFill="1" applyBorder="1" applyAlignment="1">
      <alignment vertical="center"/>
    </xf>
    <xf numFmtId="4" fontId="16" fillId="0" borderId="33" xfId="0" applyNumberFormat="1" applyFont="1" applyBorder="1" applyAlignment="1">
      <alignment vertical="center"/>
    </xf>
    <xf numFmtId="2" fontId="16" fillId="0" borderId="0" xfId="0" applyNumberFormat="1" applyFont="1" applyAlignment="1">
      <alignment horizontal="right"/>
    </xf>
    <xf numFmtId="0" fontId="16" fillId="0" borderId="33" xfId="0" applyFont="1" applyBorder="1" applyAlignment="1">
      <alignment horizontal="right" vertical="center"/>
    </xf>
    <xf numFmtId="0" fontId="16" fillId="0" borderId="33" xfId="0" applyFont="1" applyBorder="1" applyAlignment="1" applyProtection="1">
      <alignment vertical="center"/>
      <protection locked="0"/>
    </xf>
    <xf numFmtId="4" fontId="16" fillId="0" borderId="33" xfId="0" applyNumberFormat="1" applyFont="1" applyBorder="1" applyAlignment="1" applyProtection="1">
      <alignment vertical="center"/>
      <protection locked="0"/>
    </xf>
    <xf numFmtId="166" fontId="16" fillId="0" borderId="33" xfId="0" applyNumberFormat="1" applyFont="1" applyBorder="1" applyAlignment="1" applyProtection="1">
      <alignment horizontal="right" vertical="center"/>
      <protection locked="0"/>
    </xf>
    <xf numFmtId="167" fontId="16" fillId="0" borderId="0" xfId="0" applyNumberFormat="1" applyFont="1" applyAlignment="1">
      <alignment/>
    </xf>
    <xf numFmtId="0" fontId="16" fillId="0" borderId="33" xfId="0" applyFont="1" applyFill="1" applyBorder="1" applyAlignment="1">
      <alignment horizontal="left"/>
    </xf>
    <xf numFmtId="0" fontId="16" fillId="0" borderId="33" xfId="0" applyFont="1" applyFill="1" applyBorder="1" applyAlignment="1" applyProtection="1">
      <alignment horizontal="right" vertical="center"/>
      <protection locked="0"/>
    </xf>
    <xf numFmtId="2" fontId="16" fillId="0" borderId="28" xfId="0" applyNumberFormat="1" applyFont="1" applyFill="1" applyBorder="1" applyAlignment="1">
      <alignment/>
    </xf>
    <xf numFmtId="0" fontId="16" fillId="0" borderId="33" xfId="0" applyFont="1" applyFill="1" applyBorder="1" applyAlignment="1" applyProtection="1">
      <alignment vertical="center"/>
      <protection locked="0"/>
    </xf>
    <xf numFmtId="4" fontId="16" fillId="0" borderId="33" xfId="0" applyNumberFormat="1" applyFont="1" applyFill="1" applyBorder="1" applyAlignment="1" applyProtection="1">
      <alignment vertical="center"/>
      <protection locked="0"/>
    </xf>
    <xf numFmtId="4" fontId="16" fillId="0" borderId="33" xfId="0" applyNumberFormat="1" applyFont="1" applyFill="1" applyBorder="1" applyAlignment="1" applyProtection="1">
      <alignment horizontal="right" vertical="center"/>
      <protection locked="0"/>
    </xf>
    <xf numFmtId="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27" xfId="0" applyFont="1" applyFill="1" applyBorder="1" applyAlignment="1">
      <alignment horizontal="right" vertical="center"/>
    </xf>
    <xf numFmtId="0" fontId="16" fillId="0" borderId="33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4" fontId="16" fillId="0" borderId="33" xfId="0" applyNumberFormat="1" applyFont="1" applyFill="1" applyBorder="1" applyAlignment="1">
      <alignment horizontal="right"/>
    </xf>
    <xf numFmtId="4" fontId="16" fillId="0" borderId="33" xfId="0" applyNumberFormat="1" applyFont="1" applyFill="1" applyBorder="1" applyAlignment="1">
      <alignment horizontal="right" vertical="center"/>
    </xf>
    <xf numFmtId="0" fontId="17" fillId="0" borderId="33" xfId="0" applyFont="1" applyFill="1" applyBorder="1" applyAlignment="1">
      <alignment horizontal="left"/>
    </xf>
    <xf numFmtId="0" fontId="17" fillId="0" borderId="33" xfId="0" applyFont="1" applyFill="1" applyBorder="1" applyAlignment="1" applyProtection="1">
      <alignment vertical="center"/>
      <protection locked="0"/>
    </xf>
    <xf numFmtId="4" fontId="17" fillId="0" borderId="33" xfId="0" applyNumberFormat="1" applyFont="1" applyFill="1" applyBorder="1" applyAlignment="1" applyProtection="1">
      <alignment vertical="center"/>
      <protection locked="0"/>
    </xf>
    <xf numFmtId="4" fontId="17" fillId="0" borderId="33" xfId="0" applyNumberFormat="1" applyFont="1" applyFill="1" applyBorder="1" applyAlignment="1" applyProtection="1">
      <alignment horizontal="right" vertical="center"/>
      <protection locked="0"/>
    </xf>
    <xf numFmtId="2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2" fontId="16" fillId="0" borderId="28" xfId="0" applyNumberFormat="1" applyFont="1" applyBorder="1" applyAlignment="1">
      <alignment/>
    </xf>
    <xf numFmtId="0" fontId="17" fillId="0" borderId="33" xfId="0" applyFont="1" applyBorder="1" applyAlignment="1" applyProtection="1">
      <alignment vertical="center"/>
      <protection locked="0"/>
    </xf>
    <xf numFmtId="4" fontId="17" fillId="0" borderId="33" xfId="0" applyNumberFormat="1" applyFont="1" applyBorder="1" applyAlignment="1" applyProtection="1">
      <alignment vertical="center"/>
      <protection locked="0"/>
    </xf>
    <xf numFmtId="0" fontId="16" fillId="0" borderId="33" xfId="0" applyFont="1" applyFill="1" applyBorder="1" applyAlignment="1" applyProtection="1">
      <alignment horizontal="left" vertical="center"/>
      <protection locked="0"/>
    </xf>
    <xf numFmtId="0" fontId="18" fillId="0" borderId="33" xfId="0" applyFont="1" applyFill="1" applyBorder="1" applyAlignment="1">
      <alignment/>
    </xf>
    <xf numFmtId="0" fontId="16" fillId="0" borderId="36" xfId="0" applyFont="1" applyFill="1" applyBorder="1" applyAlignment="1">
      <alignment horizontal="right" vertical="center"/>
    </xf>
    <xf numFmtId="2" fontId="18" fillId="0" borderId="28" xfId="0" applyNumberFormat="1" applyFont="1" applyFill="1" applyBorder="1" applyAlignment="1">
      <alignment/>
    </xf>
    <xf numFmtId="2" fontId="16" fillId="0" borderId="28" xfId="0" applyNumberFormat="1" applyFont="1" applyFill="1" applyBorder="1" applyAlignment="1">
      <alignment horizontal="right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4" fontId="17" fillId="0" borderId="33" xfId="0" applyNumberFormat="1" applyFont="1" applyFill="1" applyBorder="1" applyAlignment="1" applyProtection="1">
      <alignment horizontal="center" vertical="center"/>
      <protection locked="0"/>
    </xf>
    <xf numFmtId="2" fontId="17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2" fontId="16" fillId="0" borderId="28" xfId="0" applyNumberFormat="1" applyFont="1" applyBorder="1" applyAlignment="1">
      <alignment horizontal="right"/>
    </xf>
    <xf numFmtId="0" fontId="17" fillId="0" borderId="33" xfId="0" applyFont="1" applyBorder="1" applyAlignment="1" applyProtection="1">
      <alignment horizontal="right" vertical="center"/>
      <protection locked="0"/>
    </xf>
    <xf numFmtId="0" fontId="16" fillId="0" borderId="37" xfId="0" applyFont="1" applyBorder="1" applyAlignment="1" applyProtection="1">
      <alignment vertical="center"/>
      <protection locked="0"/>
    </xf>
    <xf numFmtId="4" fontId="16" fillId="0" borderId="37" xfId="0" applyNumberFormat="1" applyFont="1" applyBorder="1" applyAlignment="1" applyProtection="1">
      <alignment vertical="center"/>
      <protection locked="0"/>
    </xf>
    <xf numFmtId="0" fontId="16" fillId="0" borderId="37" xfId="0" applyFont="1" applyFill="1" applyBorder="1" applyAlignment="1" applyProtection="1">
      <alignment vertical="center"/>
      <protection locked="0"/>
    </xf>
    <xf numFmtId="4" fontId="16" fillId="0" borderId="37" xfId="0" applyNumberFormat="1" applyFont="1" applyFill="1" applyBorder="1" applyAlignment="1" applyProtection="1">
      <alignment vertical="center"/>
      <protection locked="0"/>
    </xf>
    <xf numFmtId="168" fontId="16" fillId="0" borderId="0" xfId="0" applyNumberFormat="1" applyFont="1" applyAlignment="1">
      <alignment/>
    </xf>
    <xf numFmtId="0" fontId="16" fillId="0" borderId="36" xfId="0" applyFont="1" applyBorder="1" applyAlignment="1" applyProtection="1">
      <alignment vertical="center"/>
      <protection locked="0"/>
    </xf>
    <xf numFmtId="4" fontId="16" fillId="0" borderId="36" xfId="0" applyNumberFormat="1" applyFont="1" applyBorder="1" applyAlignment="1" applyProtection="1">
      <alignment vertical="center"/>
      <protection locked="0"/>
    </xf>
    <xf numFmtId="4" fontId="16" fillId="0" borderId="36" xfId="0" applyNumberFormat="1" applyFont="1" applyBorder="1" applyAlignment="1" applyProtection="1">
      <alignment horizontal="right" vertical="center"/>
      <protection locked="0"/>
    </xf>
    <xf numFmtId="0" fontId="16" fillId="0" borderId="33" xfId="0" applyFont="1" applyFill="1" applyBorder="1" applyAlignment="1">
      <alignment/>
    </xf>
    <xf numFmtId="167" fontId="16" fillId="0" borderId="0" xfId="0" applyNumberFormat="1" applyFont="1" applyFill="1" applyAlignment="1">
      <alignment/>
    </xf>
    <xf numFmtId="0" fontId="16" fillId="0" borderId="27" xfId="0" applyFont="1" applyBorder="1" applyAlignment="1">
      <alignment horizontal="right" vertical="center"/>
    </xf>
    <xf numFmtId="0" fontId="16" fillId="0" borderId="29" xfId="0" applyFont="1" applyBorder="1" applyAlignment="1">
      <alignment/>
    </xf>
    <xf numFmtId="4" fontId="16" fillId="0" borderId="33" xfId="0" applyNumberFormat="1" applyFont="1" applyBorder="1" applyAlignment="1">
      <alignment horizontal="right"/>
    </xf>
    <xf numFmtId="4" fontId="16" fillId="0" borderId="33" xfId="0" applyNumberFormat="1" applyFont="1" applyBorder="1" applyAlignment="1">
      <alignment horizontal="right" vertical="center"/>
    </xf>
    <xf numFmtId="49" fontId="16" fillId="0" borderId="33" xfId="0" applyNumberFormat="1" applyFont="1" applyFill="1" applyBorder="1" applyAlignment="1">
      <alignment horizontal="left" vertical="center"/>
    </xf>
    <xf numFmtId="0" fontId="16" fillId="0" borderId="29" xfId="0" applyFont="1" applyFill="1" applyBorder="1" applyAlignment="1">
      <alignment vertical="center"/>
    </xf>
    <xf numFmtId="4" fontId="16" fillId="0" borderId="29" xfId="0" applyNumberFormat="1" applyFont="1" applyFill="1" applyBorder="1" applyAlignment="1">
      <alignment horizontal="right" vertical="center"/>
    </xf>
    <xf numFmtId="4" fontId="16" fillId="0" borderId="29" xfId="0" applyNumberFormat="1" applyFont="1" applyFill="1" applyBorder="1" applyAlignment="1">
      <alignment vertical="center"/>
    </xf>
    <xf numFmtId="49" fontId="16" fillId="0" borderId="33" xfId="0" applyNumberFormat="1" applyFont="1" applyBorder="1" applyAlignment="1" applyProtection="1">
      <alignment horizontal="left" vertical="center"/>
      <protection locked="0"/>
    </xf>
    <xf numFmtId="0" fontId="17" fillId="0" borderId="34" xfId="0" applyFont="1" applyBorder="1" applyAlignment="1" applyProtection="1">
      <alignment horizontal="left" vertical="center"/>
      <protection locked="0"/>
    </xf>
    <xf numFmtId="0" fontId="18" fillId="34" borderId="22" xfId="0" applyFont="1" applyFill="1" applyBorder="1" applyAlignment="1">
      <alignment vertical="center"/>
    </xf>
    <xf numFmtId="4" fontId="18" fillId="34" borderId="22" xfId="0" applyNumberFormat="1" applyFont="1" applyFill="1" applyBorder="1" applyAlignment="1">
      <alignment vertical="center"/>
    </xf>
    <xf numFmtId="4" fontId="18" fillId="34" borderId="38" xfId="0" applyNumberFormat="1" applyFont="1" applyFill="1" applyBorder="1" applyAlignment="1">
      <alignment horizontal="right" vertical="center"/>
    </xf>
    <xf numFmtId="0" fontId="16" fillId="0" borderId="36" xfId="0" applyFont="1" applyBorder="1" applyAlignment="1">
      <alignment horizontal="left"/>
    </xf>
    <xf numFmtId="0" fontId="16" fillId="0" borderId="36" xfId="0" applyFont="1" applyBorder="1" applyAlignment="1" applyProtection="1">
      <alignment horizontal="left" vertical="center"/>
      <protection locked="0"/>
    </xf>
    <xf numFmtId="0" fontId="16" fillId="0" borderId="39" xfId="0" applyFont="1" applyBorder="1" applyAlignment="1" applyProtection="1">
      <alignment horizontal="left" vertical="center"/>
      <protection locked="0"/>
    </xf>
    <xf numFmtId="0" fontId="16" fillId="0" borderId="39" xfId="0" applyFont="1" applyBorder="1" applyAlignment="1" applyProtection="1">
      <alignment vertical="center"/>
      <protection locked="0"/>
    </xf>
    <xf numFmtId="0" fontId="16" fillId="0" borderId="34" xfId="0" applyFont="1" applyBorder="1" applyAlignment="1" applyProtection="1">
      <alignment vertical="center"/>
      <protection locked="0"/>
    </xf>
    <xf numFmtId="4" fontId="16" fillId="0" borderId="34" xfId="0" applyNumberFormat="1" applyFont="1" applyBorder="1" applyAlignment="1" applyProtection="1">
      <alignment vertical="center"/>
      <protection locked="0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4" fontId="18" fillId="0" borderId="28" xfId="0" applyNumberFormat="1" applyFont="1" applyBorder="1" applyAlignment="1">
      <alignment vertical="center"/>
    </xf>
    <xf numFmtId="1" fontId="16" fillId="0" borderId="33" xfId="0" applyNumberFormat="1" applyFont="1" applyBorder="1" applyAlignment="1" applyProtection="1">
      <alignment horizontal="left" vertical="center"/>
      <protection locked="0"/>
    </xf>
    <xf numFmtId="1" fontId="16" fillId="0" borderId="34" xfId="0" applyNumberFormat="1" applyFont="1" applyBorder="1" applyAlignment="1" applyProtection="1">
      <alignment horizontal="left" vertical="center"/>
      <protection locked="0"/>
    </xf>
    <xf numFmtId="0" fontId="18" fillId="34" borderId="38" xfId="0" applyFont="1" applyFill="1" applyBorder="1" applyAlignment="1">
      <alignment horizontal="left" vertical="center"/>
    </xf>
    <xf numFmtId="4" fontId="18" fillId="34" borderId="23" xfId="0" applyNumberFormat="1" applyFont="1" applyFill="1" applyBorder="1" applyAlignment="1">
      <alignment vertical="center"/>
    </xf>
    <xf numFmtId="169" fontId="16" fillId="0" borderId="33" xfId="0" applyNumberFormat="1" applyFont="1" applyBorder="1" applyAlignment="1" applyProtection="1">
      <alignment vertical="center"/>
      <protection locked="0"/>
    </xf>
    <xf numFmtId="170" fontId="16" fillId="0" borderId="33" xfId="0" applyNumberFormat="1" applyFont="1" applyBorder="1" applyAlignment="1" applyProtection="1">
      <alignment vertical="center"/>
      <protection locked="0"/>
    </xf>
    <xf numFmtId="0" fontId="16" fillId="0" borderId="27" xfId="0" applyFont="1" applyBorder="1" applyAlignment="1">
      <alignment horizontal="left" vertical="center"/>
    </xf>
    <xf numFmtId="0" fontId="16" fillId="0" borderId="37" xfId="0" applyFont="1" applyBorder="1" applyAlignment="1" applyProtection="1">
      <alignment horizontal="left" vertical="center"/>
      <protection locked="0"/>
    </xf>
    <xf numFmtId="4" fontId="16" fillId="0" borderId="37" xfId="0" applyNumberFormat="1" applyFont="1" applyBorder="1" applyAlignment="1" applyProtection="1">
      <alignment horizontal="right" vertical="center"/>
      <protection locked="0"/>
    </xf>
    <xf numFmtId="49" fontId="18" fillId="0" borderId="33" xfId="0" applyNumberFormat="1" applyFont="1" applyBorder="1" applyAlignment="1">
      <alignment horizontal="left" vertical="center"/>
    </xf>
    <xf numFmtId="0" fontId="18" fillId="0" borderId="33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4" fontId="18" fillId="0" borderId="29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horizontal="left" vertical="center"/>
    </xf>
    <xf numFmtId="0" fontId="16" fillId="0" borderId="29" xfId="0" applyFont="1" applyBorder="1" applyAlignment="1">
      <alignment vertical="center"/>
    </xf>
    <xf numFmtId="4" fontId="16" fillId="0" borderId="29" xfId="0" applyNumberFormat="1" applyFont="1" applyBorder="1" applyAlignment="1">
      <alignment horizontal="right" vertical="center"/>
    </xf>
    <xf numFmtId="4" fontId="16" fillId="0" borderId="29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horizontal="right" vertical="center"/>
    </xf>
    <xf numFmtId="0" fontId="16" fillId="0" borderId="33" xfId="0" applyFont="1" applyFill="1" applyBorder="1" applyAlignment="1">
      <alignment vertical="center"/>
    </xf>
    <xf numFmtId="49" fontId="16" fillId="0" borderId="33" xfId="0" applyNumberFormat="1" applyFont="1" applyFill="1" applyBorder="1" applyAlignment="1">
      <alignment horizontal="right" vertical="center"/>
    </xf>
    <xf numFmtId="49" fontId="16" fillId="0" borderId="33" xfId="0" applyNumberFormat="1" applyFont="1" applyBorder="1" applyAlignment="1" applyProtection="1">
      <alignment horizontal="right" vertical="center"/>
      <protection locked="0"/>
    </xf>
    <xf numFmtId="171" fontId="16" fillId="0" borderId="0" xfId="0" applyNumberFormat="1" applyFont="1" applyAlignment="1">
      <alignment/>
    </xf>
    <xf numFmtId="49" fontId="16" fillId="0" borderId="33" xfId="0" applyNumberFormat="1" applyFont="1" applyBorder="1" applyAlignment="1">
      <alignment horizontal="right"/>
    </xf>
    <xf numFmtId="2" fontId="16" fillId="0" borderId="33" xfId="0" applyNumberFormat="1" applyFont="1" applyBorder="1" applyAlignment="1">
      <alignment/>
    </xf>
    <xf numFmtId="0" fontId="16" fillId="0" borderId="33" xfId="0" applyFont="1" applyFill="1" applyBorder="1" applyAlignment="1">
      <alignment horizontal="right"/>
    </xf>
    <xf numFmtId="49" fontId="17" fillId="0" borderId="33" xfId="0" applyNumberFormat="1" applyFont="1" applyBorder="1" applyAlignment="1">
      <alignment horizontal="left" vertical="center"/>
    </xf>
    <xf numFmtId="0" fontId="17" fillId="0" borderId="29" xfId="0" applyFont="1" applyBorder="1" applyAlignment="1">
      <alignment vertical="center"/>
    </xf>
    <xf numFmtId="4" fontId="17" fillId="0" borderId="29" xfId="0" applyNumberFormat="1" applyFont="1" applyBorder="1" applyAlignment="1">
      <alignment horizontal="right" vertical="center"/>
    </xf>
    <xf numFmtId="4" fontId="17" fillId="0" borderId="29" xfId="0" applyNumberFormat="1" applyFont="1" applyBorder="1" applyAlignment="1">
      <alignment vertical="center"/>
    </xf>
    <xf numFmtId="4" fontId="17" fillId="0" borderId="33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vertical="center"/>
    </xf>
    <xf numFmtId="4" fontId="17" fillId="0" borderId="33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/>
    </xf>
    <xf numFmtId="4" fontId="16" fillId="0" borderId="34" xfId="0" applyNumberFormat="1" applyFont="1" applyBorder="1" applyAlignment="1">
      <alignment horizontal="right"/>
    </xf>
    <xf numFmtId="4" fontId="16" fillId="0" borderId="34" xfId="0" applyNumberFormat="1" applyFont="1" applyBorder="1" applyAlignment="1">
      <alignment vertical="center"/>
    </xf>
    <xf numFmtId="4" fontId="16" fillId="0" borderId="34" xfId="0" applyNumberFormat="1" applyFont="1" applyBorder="1" applyAlignment="1">
      <alignment horizontal="right" vertical="center"/>
    </xf>
    <xf numFmtId="0" fontId="16" fillId="0" borderId="34" xfId="0" applyFont="1" applyBorder="1" applyAlignment="1">
      <alignment horizontal="left" vertical="center"/>
    </xf>
    <xf numFmtId="49" fontId="16" fillId="0" borderId="37" xfId="36" applyNumberFormat="1" applyFont="1" applyBorder="1" applyAlignment="1">
      <alignment horizontal="left" vertical="top"/>
      <protection/>
    </xf>
    <xf numFmtId="0" fontId="16" fillId="0" borderId="37" xfId="36" applyFont="1" applyBorder="1" applyAlignment="1">
      <alignment vertical="top" wrapText="1"/>
      <protection/>
    </xf>
    <xf numFmtId="49" fontId="16" fillId="0" borderId="37" xfId="36" applyNumberFormat="1" applyFont="1" applyBorder="1" applyAlignment="1">
      <alignment shrinkToFit="1"/>
      <protection/>
    </xf>
    <xf numFmtId="4" fontId="16" fillId="0" borderId="37" xfId="36" applyNumberFormat="1" applyFont="1" applyBorder="1" applyAlignment="1">
      <alignment horizontal="right"/>
      <protection/>
    </xf>
    <xf numFmtId="4" fontId="16" fillId="0" borderId="37" xfId="36" applyNumberFormat="1" applyFont="1" applyBorder="1">
      <alignment/>
      <protection/>
    </xf>
    <xf numFmtId="2" fontId="16" fillId="0" borderId="0" xfId="0" applyNumberFormat="1" applyFont="1" applyBorder="1" applyAlignment="1" applyProtection="1">
      <alignment vertical="center"/>
      <protection locked="0"/>
    </xf>
    <xf numFmtId="49" fontId="16" fillId="0" borderId="34" xfId="36" applyNumberFormat="1" applyFont="1" applyBorder="1" applyAlignment="1">
      <alignment horizontal="left" vertical="top"/>
      <protection/>
    </xf>
    <xf numFmtId="0" fontId="16" fillId="0" borderId="34" xfId="36" applyFont="1" applyBorder="1" applyAlignment="1">
      <alignment vertical="top" wrapText="1"/>
      <protection/>
    </xf>
    <xf numFmtId="49" fontId="16" fillId="0" borderId="34" xfId="36" applyNumberFormat="1" applyFont="1" applyBorder="1" applyAlignment="1">
      <alignment shrinkToFit="1"/>
      <protection/>
    </xf>
    <xf numFmtId="4" fontId="16" fillId="0" borderId="34" xfId="36" applyNumberFormat="1" applyFont="1" applyBorder="1" applyAlignment="1">
      <alignment horizontal="right"/>
      <protection/>
    </xf>
    <xf numFmtId="4" fontId="16" fillId="0" borderId="34" xfId="36" applyNumberFormat="1" applyFont="1" applyBorder="1">
      <alignment/>
      <protection/>
    </xf>
    <xf numFmtId="49" fontId="18" fillId="0" borderId="40" xfId="36" applyNumberFormat="1" applyFont="1" applyBorder="1" applyAlignment="1">
      <alignment horizontal="left"/>
      <protection/>
    </xf>
    <xf numFmtId="0" fontId="18" fillId="0" borderId="27" xfId="36" applyFont="1" applyBorder="1">
      <alignment/>
      <protection/>
    </xf>
    <xf numFmtId="0" fontId="16" fillId="0" borderId="37" xfId="37" applyFont="1" applyBorder="1" applyAlignment="1">
      <alignment horizontal="left" vertical="top"/>
      <protection/>
    </xf>
    <xf numFmtId="49" fontId="16" fillId="0" borderId="37" xfId="37" applyNumberFormat="1" applyFont="1" applyBorder="1" applyAlignment="1">
      <alignment horizontal="left" vertical="top"/>
      <protection/>
    </xf>
    <xf numFmtId="0" fontId="16" fillId="0" borderId="37" xfId="37" applyFont="1" applyBorder="1" applyAlignment="1">
      <alignment vertical="top" wrapText="1"/>
      <protection/>
    </xf>
    <xf numFmtId="49" fontId="16" fillId="0" borderId="37" xfId="37" applyNumberFormat="1" applyFont="1" applyBorder="1" applyAlignment="1">
      <alignment horizontal="center" shrinkToFit="1"/>
      <protection/>
    </xf>
    <xf numFmtId="4" fontId="16" fillId="0" borderId="37" xfId="37" applyNumberFormat="1" applyFont="1" applyBorder="1" applyAlignment="1">
      <alignment horizontal="right"/>
      <protection/>
    </xf>
    <xf numFmtId="4" fontId="16" fillId="0" borderId="37" xfId="37" applyNumberFormat="1" applyFont="1" applyBorder="1">
      <alignment/>
      <protection/>
    </xf>
    <xf numFmtId="172" fontId="16" fillId="0" borderId="0" xfId="37" applyNumberFormat="1" applyFont="1" applyBorder="1">
      <alignment/>
      <protection/>
    </xf>
    <xf numFmtId="0" fontId="16" fillId="0" borderId="0" xfId="37" applyFont="1">
      <alignment/>
      <protection/>
    </xf>
    <xf numFmtId="4" fontId="16" fillId="0" borderId="0" xfId="37" applyNumberFormat="1" applyFont="1">
      <alignment/>
      <protection/>
    </xf>
    <xf numFmtId="49" fontId="16" fillId="0" borderId="36" xfId="36" applyNumberFormat="1" applyFont="1" applyBorder="1" applyAlignment="1">
      <alignment shrinkToFit="1"/>
      <protection/>
    </xf>
    <xf numFmtId="4" fontId="16" fillId="0" borderId="36" xfId="36" applyNumberFormat="1" applyFont="1" applyBorder="1" applyAlignment="1">
      <alignment horizontal="right"/>
      <protection/>
    </xf>
    <xf numFmtId="49" fontId="16" fillId="34" borderId="38" xfId="36" applyNumberFormat="1" applyFont="1" applyFill="1" applyBorder="1" applyAlignment="1">
      <alignment horizontal="left" vertical="top"/>
      <protection/>
    </xf>
    <xf numFmtId="49" fontId="16" fillId="34" borderId="0" xfId="36" applyNumberFormat="1" applyFont="1" applyFill="1" applyBorder="1" applyAlignment="1">
      <alignment shrinkToFit="1"/>
      <protection/>
    </xf>
    <xf numFmtId="4" fontId="16" fillId="34" borderId="0" xfId="36" applyNumberFormat="1" applyFont="1" applyFill="1" applyBorder="1" applyAlignment="1">
      <alignment horizontal="right"/>
      <protection/>
    </xf>
    <xf numFmtId="4" fontId="18" fillId="34" borderId="38" xfId="36" applyNumberFormat="1" applyFont="1" applyFill="1" applyBorder="1">
      <alignment/>
      <protection/>
    </xf>
    <xf numFmtId="0" fontId="16" fillId="0" borderId="28" xfId="36" applyFont="1" applyBorder="1" applyAlignment="1">
      <alignment/>
      <protection/>
    </xf>
    <xf numFmtId="4" fontId="16" fillId="0" borderId="28" xfId="36" applyNumberFormat="1" applyFont="1" applyBorder="1" applyAlignment="1">
      <alignment horizontal="right"/>
      <protection/>
    </xf>
    <xf numFmtId="4" fontId="16" fillId="0" borderId="29" xfId="36" applyNumberFormat="1" applyFont="1" applyBorder="1">
      <alignment/>
      <protection/>
    </xf>
    <xf numFmtId="0" fontId="16" fillId="0" borderId="24" xfId="37" applyFont="1" applyBorder="1" applyAlignment="1">
      <alignment vertical="top" wrapText="1"/>
      <protection/>
    </xf>
    <xf numFmtId="49" fontId="16" fillId="0" borderId="33" xfId="36" applyNumberFormat="1" applyFont="1" applyBorder="1" applyAlignment="1">
      <alignment shrinkToFit="1"/>
      <protection/>
    </xf>
    <xf numFmtId="4" fontId="16" fillId="0" borderId="33" xfId="36" applyNumberFormat="1" applyFont="1" applyBorder="1" applyAlignment="1">
      <alignment horizontal="right"/>
      <protection/>
    </xf>
    <xf numFmtId="4" fontId="16" fillId="0" borderId="33" xfId="36" applyNumberFormat="1" applyFont="1" applyBorder="1">
      <alignment/>
      <protection/>
    </xf>
    <xf numFmtId="0" fontId="16" fillId="0" borderId="34" xfId="37" applyFont="1" applyBorder="1" applyAlignment="1">
      <alignment horizontal="left" vertical="top"/>
      <protection/>
    </xf>
    <xf numFmtId="49" fontId="16" fillId="0" borderId="39" xfId="36" applyNumberFormat="1" applyFont="1" applyBorder="1" applyAlignment="1">
      <alignment shrinkToFit="1"/>
      <protection/>
    </xf>
    <xf numFmtId="4" fontId="16" fillId="0" borderId="39" xfId="36" applyNumberFormat="1" applyFont="1" applyBorder="1" applyAlignment="1">
      <alignment horizontal="right"/>
      <protection/>
    </xf>
    <xf numFmtId="4" fontId="16" fillId="0" borderId="39" xfId="37" applyNumberFormat="1" applyFont="1" applyBorder="1">
      <alignment/>
      <protection/>
    </xf>
    <xf numFmtId="4" fontId="16" fillId="0" borderId="37" xfId="37" applyNumberFormat="1" applyFont="1" applyFill="1" applyBorder="1" applyAlignment="1">
      <alignment horizontal="right"/>
      <protection/>
    </xf>
    <xf numFmtId="49" fontId="16" fillId="0" borderId="34" xfId="37" applyNumberFormat="1" applyFont="1" applyBorder="1" applyAlignment="1">
      <alignment horizontal="left" vertical="top"/>
      <protection/>
    </xf>
    <xf numFmtId="0" fontId="16" fillId="0" borderId="34" xfId="37" applyFont="1" applyBorder="1" applyAlignment="1">
      <alignment vertical="top" wrapText="1"/>
      <protection/>
    </xf>
    <xf numFmtId="49" fontId="16" fillId="0" borderId="34" xfId="37" applyNumberFormat="1" applyFont="1" applyBorder="1" applyAlignment="1">
      <alignment horizontal="center" shrinkToFit="1"/>
      <protection/>
    </xf>
    <xf numFmtId="4" fontId="16" fillId="0" borderId="34" xfId="37" applyNumberFormat="1" applyFont="1" applyBorder="1" applyAlignment="1">
      <alignment horizontal="right"/>
      <protection/>
    </xf>
    <xf numFmtId="4" fontId="16" fillId="0" borderId="34" xfId="37" applyNumberFormat="1" applyFont="1" applyBorder="1">
      <alignment/>
      <protection/>
    </xf>
    <xf numFmtId="49" fontId="16" fillId="0" borderId="36" xfId="36" applyNumberFormat="1" applyFont="1" applyBorder="1" applyAlignment="1">
      <alignment horizontal="left" vertical="top"/>
      <protection/>
    </xf>
    <xf numFmtId="4" fontId="16" fillId="0" borderId="36" xfId="37" applyNumberFormat="1" applyFont="1" applyBorder="1">
      <alignment/>
      <protection/>
    </xf>
    <xf numFmtId="49" fontId="21" fillId="35" borderId="38" xfId="36" applyNumberFormat="1" applyFont="1" applyFill="1" applyBorder="1" applyAlignment="1">
      <alignment horizontal="left"/>
      <protection/>
    </xf>
    <xf numFmtId="0" fontId="18" fillId="35" borderId="21" xfId="0" applyFont="1" applyFill="1" applyBorder="1" applyAlignment="1">
      <alignment vertical="center"/>
    </xf>
    <xf numFmtId="0" fontId="16" fillId="35" borderId="22" xfId="36" applyFont="1" applyFill="1" applyBorder="1" applyAlignment="1">
      <alignment/>
      <protection/>
    </xf>
    <xf numFmtId="4" fontId="16" fillId="35" borderId="22" xfId="36" applyNumberFormat="1" applyFont="1" applyFill="1" applyBorder="1" applyAlignment="1">
      <alignment horizontal="right"/>
      <protection/>
    </xf>
    <xf numFmtId="4" fontId="16" fillId="35" borderId="23" xfId="36" applyNumberFormat="1" applyFont="1" applyFill="1" applyBorder="1" applyAlignment="1">
      <alignment horizontal="right"/>
      <protection/>
    </xf>
    <xf numFmtId="4" fontId="18" fillId="35" borderId="38" xfId="36" applyNumberFormat="1" applyFont="1" applyFill="1" applyBorder="1">
      <alignment/>
      <protection/>
    </xf>
    <xf numFmtId="49" fontId="18" fillId="0" borderId="40" xfId="36" applyNumberFormat="1" applyFont="1" applyFill="1" applyBorder="1" applyAlignment="1">
      <alignment horizontal="left"/>
      <protection/>
    </xf>
    <xf numFmtId="0" fontId="18" fillId="0" borderId="27" xfId="36" applyFont="1" applyFill="1" applyBorder="1">
      <alignment/>
      <protection/>
    </xf>
    <xf numFmtId="0" fontId="16" fillId="0" borderId="25" xfId="36" applyFont="1" applyFill="1" applyBorder="1" applyAlignment="1">
      <alignment/>
      <protection/>
    </xf>
    <xf numFmtId="4" fontId="16" fillId="0" borderId="25" xfId="36" applyNumberFormat="1" applyFont="1" applyFill="1" applyBorder="1" applyAlignment="1">
      <alignment horizontal="right"/>
      <protection/>
    </xf>
    <xf numFmtId="4" fontId="16" fillId="0" borderId="29" xfId="36" applyNumberFormat="1" applyFont="1" applyFill="1" applyBorder="1">
      <alignment/>
      <protection/>
    </xf>
    <xf numFmtId="0" fontId="16" fillId="0" borderId="24" xfId="0" applyFont="1" applyFill="1" applyBorder="1" applyAlignment="1">
      <alignment horizontal="left"/>
    </xf>
    <xf numFmtId="49" fontId="16" fillId="0" borderId="33" xfId="36" applyNumberFormat="1" applyFont="1" applyFill="1" applyBorder="1" applyAlignment="1">
      <alignment horizontal="left"/>
      <protection/>
    </xf>
    <xf numFmtId="0" fontId="16" fillId="0" borderId="25" xfId="36" applyFont="1" applyFill="1" applyBorder="1">
      <alignment/>
      <protection/>
    </xf>
    <xf numFmtId="0" fontId="16" fillId="0" borderId="33" xfId="36" applyFont="1" applyFill="1" applyBorder="1" applyAlignment="1">
      <alignment/>
      <protection/>
    </xf>
    <xf numFmtId="4" fontId="16" fillId="0" borderId="33" xfId="36" applyNumberFormat="1" applyFont="1" applyFill="1" applyBorder="1" applyAlignment="1">
      <alignment horizontal="right"/>
      <protection/>
    </xf>
    <xf numFmtId="4" fontId="16" fillId="0" borderId="37" xfId="37" applyNumberFormat="1" applyFont="1" applyFill="1" applyBorder="1">
      <alignment/>
      <protection/>
    </xf>
    <xf numFmtId="172" fontId="16" fillId="0" borderId="0" xfId="37" applyNumberFormat="1" applyFont="1" applyFill="1" applyBorder="1">
      <alignment/>
      <protection/>
    </xf>
    <xf numFmtId="0" fontId="16" fillId="0" borderId="0" xfId="37" applyFont="1" applyFill="1">
      <alignment/>
      <protection/>
    </xf>
    <xf numFmtId="4" fontId="16" fillId="0" borderId="0" xfId="37" applyNumberFormat="1" applyFont="1" applyFill="1">
      <alignment/>
      <protection/>
    </xf>
    <xf numFmtId="49" fontId="16" fillId="0" borderId="40" xfId="37" applyNumberFormat="1" applyFont="1" applyFill="1" applyBorder="1" applyAlignment="1">
      <alignment horizontal="left" vertical="top"/>
      <protection/>
    </xf>
    <xf numFmtId="0" fontId="16" fillId="0" borderId="37" xfId="37" applyFont="1" applyFill="1" applyBorder="1" applyAlignment="1">
      <alignment vertical="top" wrapText="1"/>
      <protection/>
    </xf>
    <xf numFmtId="49" fontId="16" fillId="0" borderId="40" xfId="37" applyNumberFormat="1" applyFont="1" applyFill="1" applyBorder="1" applyAlignment="1">
      <alignment horizontal="center" shrinkToFit="1"/>
      <protection/>
    </xf>
    <xf numFmtId="4" fontId="16" fillId="0" borderId="40" xfId="37" applyNumberFormat="1" applyFont="1" applyFill="1" applyBorder="1" applyAlignment="1">
      <alignment horizontal="right"/>
      <protection/>
    </xf>
    <xf numFmtId="4" fontId="16" fillId="0" borderId="37" xfId="37" applyNumberFormat="1" applyFont="1" applyFill="1" applyBorder="1">
      <alignment/>
      <protection/>
    </xf>
    <xf numFmtId="49" fontId="16" fillId="0" borderId="37" xfId="37" applyNumberFormat="1" applyFont="1" applyFill="1" applyBorder="1" applyAlignment="1">
      <alignment horizontal="left" vertical="top"/>
      <protection/>
    </xf>
    <xf numFmtId="49" fontId="16" fillId="0" borderId="37" xfId="37" applyNumberFormat="1" applyFont="1" applyFill="1" applyBorder="1" applyAlignment="1">
      <alignment horizontal="center" shrinkToFit="1"/>
      <protection/>
    </xf>
    <xf numFmtId="49" fontId="16" fillId="0" borderId="34" xfId="36" applyNumberFormat="1" applyFont="1" applyFill="1" applyBorder="1" applyAlignment="1">
      <alignment horizontal="left" vertical="top"/>
      <protection/>
    </xf>
    <xf numFmtId="0" fontId="16" fillId="0" borderId="34" xfId="36" applyFont="1" applyFill="1" applyBorder="1" applyAlignment="1">
      <alignment vertical="top" wrapText="1"/>
      <protection/>
    </xf>
    <xf numFmtId="49" fontId="16" fillId="0" borderId="34" xfId="36" applyNumberFormat="1" applyFont="1" applyFill="1" applyBorder="1" applyAlignment="1">
      <alignment shrinkToFit="1"/>
      <protection/>
    </xf>
    <xf numFmtId="4" fontId="16" fillId="0" borderId="34" xfId="36" applyNumberFormat="1" applyFont="1" applyFill="1" applyBorder="1" applyAlignment="1">
      <alignment horizontal="right"/>
      <protection/>
    </xf>
    <xf numFmtId="4" fontId="16" fillId="0" borderId="34" xfId="36" applyNumberFormat="1" applyFont="1" applyFill="1" applyBorder="1">
      <alignment/>
      <protection/>
    </xf>
    <xf numFmtId="49" fontId="21" fillId="34" borderId="38" xfId="36" applyNumberFormat="1" applyFont="1" applyFill="1" applyBorder="1" applyAlignment="1">
      <alignment horizontal="left"/>
      <protection/>
    </xf>
    <xf numFmtId="0" fontId="16" fillId="34" borderId="22" xfId="36" applyFont="1" applyFill="1" applyBorder="1" applyAlignment="1">
      <alignment/>
      <protection/>
    </xf>
    <xf numFmtId="4" fontId="16" fillId="34" borderId="22" xfId="36" applyNumberFormat="1" applyFont="1" applyFill="1" applyBorder="1" applyAlignment="1">
      <alignment horizontal="right"/>
      <protection/>
    </xf>
    <xf numFmtId="4" fontId="16" fillId="34" borderId="23" xfId="36" applyNumberFormat="1" applyFont="1" applyFill="1" applyBorder="1" applyAlignment="1">
      <alignment horizontal="right"/>
      <protection/>
    </xf>
    <xf numFmtId="0" fontId="18" fillId="0" borderId="33" xfId="0" applyFont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vertical="center"/>
      <protection locked="0"/>
    </xf>
    <xf numFmtId="0" fontId="16" fillId="0" borderId="28" xfId="0" applyFont="1" applyBorder="1" applyAlignment="1" applyProtection="1">
      <alignment vertical="center"/>
      <protection locked="0"/>
    </xf>
    <xf numFmtId="4" fontId="16" fillId="0" borderId="28" xfId="0" applyNumberFormat="1" applyFont="1" applyBorder="1" applyAlignment="1" applyProtection="1">
      <alignment vertical="center"/>
      <protection locked="0"/>
    </xf>
    <xf numFmtId="4" fontId="16" fillId="0" borderId="29" xfId="0" applyNumberFormat="1" applyFont="1" applyBorder="1" applyAlignment="1" applyProtection="1">
      <alignment vertical="center"/>
      <protection locked="0"/>
    </xf>
    <xf numFmtId="169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22" fillId="0" borderId="33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0" borderId="33" xfId="0" applyFont="1" applyBorder="1" applyAlignment="1">
      <alignment vertical="center"/>
    </xf>
    <xf numFmtId="4" fontId="16" fillId="0" borderId="33" xfId="0" applyNumberFormat="1" applyFont="1" applyBorder="1" applyAlignment="1">
      <alignment vertical="center"/>
    </xf>
    <xf numFmtId="4" fontId="16" fillId="0" borderId="33" xfId="0" applyNumberFormat="1" applyFont="1" applyBorder="1" applyAlignment="1">
      <alignment horizontal="right"/>
    </xf>
    <xf numFmtId="4" fontId="16" fillId="0" borderId="33" xfId="0" applyNumberFormat="1" applyFont="1" applyBorder="1" applyAlignment="1">
      <alignment horizontal="right" vertical="center"/>
    </xf>
    <xf numFmtId="0" fontId="16" fillId="34" borderId="38" xfId="0" applyFont="1" applyFill="1" applyBorder="1" applyAlignment="1" applyProtection="1">
      <alignment horizontal="left" vertical="center"/>
      <protection locked="0"/>
    </xf>
    <xf numFmtId="0" fontId="18" fillId="34" borderId="21" xfId="0" applyFont="1" applyFill="1" applyBorder="1" applyAlignment="1" applyProtection="1">
      <alignment vertical="center"/>
      <protection locked="0"/>
    </xf>
    <xf numFmtId="0" fontId="16" fillId="34" borderId="22" xfId="0" applyFont="1" applyFill="1" applyBorder="1" applyAlignment="1" applyProtection="1">
      <alignment vertical="center"/>
      <protection locked="0"/>
    </xf>
    <xf numFmtId="4" fontId="16" fillId="34" borderId="22" xfId="0" applyNumberFormat="1" applyFont="1" applyFill="1" applyBorder="1" applyAlignment="1" applyProtection="1">
      <alignment vertical="center"/>
      <protection locked="0"/>
    </xf>
    <xf numFmtId="4" fontId="16" fillId="34" borderId="23" xfId="0" applyNumberFormat="1" applyFont="1" applyFill="1" applyBorder="1" applyAlignment="1" applyProtection="1">
      <alignment vertical="center"/>
      <protection locked="0"/>
    </xf>
    <xf numFmtId="4" fontId="18" fillId="34" borderId="38" xfId="0" applyNumberFormat="1" applyFont="1" applyFill="1" applyBorder="1" applyAlignment="1" applyProtection="1">
      <alignment horizontal="right" vertical="center"/>
      <protection locked="0"/>
    </xf>
    <xf numFmtId="0" fontId="16" fillId="0" borderId="37" xfId="0" applyFont="1" applyBorder="1" applyAlignment="1">
      <alignment/>
    </xf>
    <xf numFmtId="4" fontId="16" fillId="0" borderId="37" xfId="0" applyNumberFormat="1" applyFont="1" applyBorder="1" applyAlignment="1">
      <alignment horizontal="right"/>
    </xf>
    <xf numFmtId="4" fontId="16" fillId="0" borderId="37" xfId="0" applyNumberFormat="1" applyFont="1" applyBorder="1" applyAlignment="1">
      <alignment horizontal="righ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/>
    </xf>
    <xf numFmtId="4" fontId="16" fillId="0" borderId="37" xfId="0" applyNumberFormat="1" applyFont="1" applyFill="1" applyBorder="1" applyAlignment="1" applyProtection="1">
      <alignment horizontal="right" vertical="center"/>
      <protection locked="0"/>
    </xf>
    <xf numFmtId="4" fontId="16" fillId="0" borderId="37" xfId="0" applyNumberFormat="1" applyFont="1" applyFill="1" applyBorder="1" applyAlignment="1">
      <alignment horizontal="right"/>
    </xf>
    <xf numFmtId="4" fontId="16" fillId="0" borderId="37" xfId="0" applyNumberFormat="1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39" xfId="0" applyFont="1" applyBorder="1" applyAlignment="1">
      <alignment horizontal="left" vertical="center"/>
    </xf>
    <xf numFmtId="4" fontId="16" fillId="0" borderId="39" xfId="0" applyNumberFormat="1" applyFont="1" applyBorder="1" applyAlignment="1" applyProtection="1">
      <alignment vertical="center"/>
      <protection locked="0"/>
    </xf>
    <xf numFmtId="4" fontId="16" fillId="0" borderId="39" xfId="0" applyNumberFormat="1" applyFont="1" applyBorder="1" applyAlignment="1" applyProtection="1">
      <alignment horizontal="right" vertical="center"/>
      <protection locked="0"/>
    </xf>
    <xf numFmtId="4" fontId="18" fillId="34" borderId="38" xfId="0" applyNumberFormat="1" applyFont="1" applyFill="1" applyBorder="1" applyAlignment="1">
      <alignment vertical="center"/>
    </xf>
    <xf numFmtId="14" fontId="16" fillId="0" borderId="33" xfId="0" applyNumberFormat="1" applyFont="1" applyBorder="1" applyAlignment="1" applyProtection="1">
      <alignment horizontal="right" vertical="center"/>
      <protection locked="0"/>
    </xf>
    <xf numFmtId="173" fontId="16" fillId="0" borderId="33" xfId="0" applyNumberFormat="1" applyFont="1" applyBorder="1" applyAlignment="1" applyProtection="1">
      <alignment horizontal="right" vertical="center"/>
      <protection locked="0"/>
    </xf>
    <xf numFmtId="49" fontId="16" fillId="0" borderId="33" xfId="0" applyNumberFormat="1" applyFont="1" applyFill="1" applyBorder="1" applyAlignment="1" applyProtection="1">
      <alignment horizontal="right" vertical="center"/>
      <protection locked="0"/>
    </xf>
    <xf numFmtId="0" fontId="17" fillId="0" borderId="37" xfId="0" applyFont="1" applyBorder="1" applyAlignment="1" applyProtection="1">
      <alignment horizontal="left" vertical="center"/>
      <protection locked="0"/>
    </xf>
    <xf numFmtId="0" fontId="17" fillId="0" borderId="37" xfId="0" applyFont="1" applyBorder="1" applyAlignment="1" applyProtection="1">
      <alignment vertical="center"/>
      <protection locked="0"/>
    </xf>
    <xf numFmtId="4" fontId="17" fillId="0" borderId="37" xfId="0" applyNumberFormat="1" applyFont="1" applyBorder="1" applyAlignment="1">
      <alignment/>
    </xf>
    <xf numFmtId="4" fontId="17" fillId="0" borderId="37" xfId="0" applyNumberFormat="1" applyFont="1" applyBorder="1" applyAlignment="1" applyProtection="1">
      <alignment vertical="center"/>
      <protection locked="0"/>
    </xf>
    <xf numFmtId="4" fontId="17" fillId="0" borderId="37" xfId="0" applyNumberFormat="1" applyFont="1" applyBorder="1" applyAlignment="1" applyProtection="1">
      <alignment horizontal="right" vertical="center"/>
      <protection locked="0"/>
    </xf>
    <xf numFmtId="3" fontId="16" fillId="0" borderId="33" xfId="0" applyNumberFormat="1" applyFont="1" applyBorder="1" applyAlignment="1" applyProtection="1">
      <alignment horizontal="left" vertical="center"/>
      <protection locked="0"/>
    </xf>
    <xf numFmtId="0" fontId="16" fillId="0" borderId="38" xfId="0" applyFont="1" applyBorder="1" applyAlignment="1" applyProtection="1">
      <alignment horizontal="left" vertical="center"/>
      <protection locked="0"/>
    </xf>
    <xf numFmtId="0" fontId="16" fillId="0" borderId="38" xfId="0" applyFont="1" applyBorder="1" applyAlignment="1" applyProtection="1">
      <alignment vertical="center"/>
      <protection locked="0"/>
    </xf>
    <xf numFmtId="0" fontId="17" fillId="0" borderId="34" xfId="0" applyFont="1" applyBorder="1" applyAlignment="1">
      <alignment vertical="center"/>
    </xf>
    <xf numFmtId="4" fontId="17" fillId="0" borderId="34" xfId="0" applyNumberFormat="1" applyFont="1" applyBorder="1" applyAlignment="1">
      <alignment vertical="center"/>
    </xf>
    <xf numFmtId="4" fontId="17" fillId="0" borderId="34" xfId="0" applyNumberFormat="1" applyFont="1" applyBorder="1" applyAlignment="1">
      <alignment horizontal="right"/>
    </xf>
    <xf numFmtId="4" fontId="17" fillId="0" borderId="34" xfId="0" applyNumberFormat="1" applyFont="1" applyBorder="1" applyAlignment="1">
      <alignment horizontal="right" vertical="center"/>
    </xf>
    <xf numFmtId="0" fontId="16" fillId="0" borderId="33" xfId="0" applyNumberFormat="1" applyFont="1" applyBorder="1" applyAlignment="1" applyProtection="1">
      <alignment horizontal="left" vertical="center"/>
      <protection locked="0"/>
    </xf>
    <xf numFmtId="49" fontId="16" fillId="0" borderId="34" xfId="0" applyNumberFormat="1" applyFont="1" applyBorder="1" applyAlignment="1" applyProtection="1">
      <alignment horizontal="left" vertical="center"/>
      <protection locked="0"/>
    </xf>
    <xf numFmtId="4" fontId="16" fillId="0" borderId="29" xfId="0" applyNumberFormat="1" applyFont="1" applyBorder="1" applyAlignment="1" applyProtection="1">
      <alignment horizontal="right" vertical="center"/>
      <protection locked="0"/>
    </xf>
    <xf numFmtId="0" fontId="17" fillId="35" borderId="35" xfId="0" applyFont="1" applyFill="1" applyBorder="1" applyAlignment="1">
      <alignment horizontal="left"/>
    </xf>
    <xf numFmtId="0" fontId="23" fillId="0" borderId="33" xfId="0" applyFont="1" applyBorder="1" applyAlignment="1" applyProtection="1">
      <alignment vertical="center"/>
      <protection locked="0"/>
    </xf>
    <xf numFmtId="0" fontId="23" fillId="0" borderId="37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4" fontId="16" fillId="0" borderId="0" xfId="0" applyNumberFormat="1" applyFont="1" applyBorder="1" applyAlignment="1" applyProtection="1">
      <alignment horizontal="right" vertical="center"/>
      <protection locked="0"/>
    </xf>
    <xf numFmtId="4" fontId="16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right" vertical="center"/>
      <protection locked="0"/>
    </xf>
    <xf numFmtId="14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39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41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 applyProtection="1">
      <alignment vertical="center"/>
      <protection locked="0"/>
    </xf>
    <xf numFmtId="4" fontId="16" fillId="0" borderId="41" xfId="0" applyNumberFormat="1" applyFont="1" applyBorder="1" applyAlignment="1" applyProtection="1">
      <alignment vertical="center"/>
      <protection locked="0"/>
    </xf>
    <xf numFmtId="4" fontId="16" fillId="0" borderId="41" xfId="0" applyNumberFormat="1" applyFont="1" applyBorder="1" applyAlignment="1" applyProtection="1">
      <alignment horizontal="right" vertical="center"/>
      <protection locked="0"/>
    </xf>
    <xf numFmtId="0" fontId="16" fillId="0" borderId="27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6" fillId="0" borderId="38" xfId="0" applyFont="1" applyFill="1" applyBorder="1" applyAlignment="1">
      <alignment horizontal="left"/>
    </xf>
    <xf numFmtId="0" fontId="16" fillId="0" borderId="38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4" fontId="16" fillId="0" borderId="38" xfId="0" applyNumberFormat="1" applyFont="1" applyFill="1" applyBorder="1" applyAlignment="1">
      <alignment horizontal="right"/>
    </xf>
    <xf numFmtId="4" fontId="16" fillId="0" borderId="38" xfId="0" applyNumberFormat="1" applyFont="1" applyFill="1" applyBorder="1" applyAlignment="1">
      <alignment vertical="center"/>
    </xf>
    <xf numFmtId="4" fontId="16" fillId="0" borderId="38" xfId="0" applyNumberFormat="1" applyFont="1" applyFill="1" applyBorder="1" applyAlignment="1">
      <alignment horizontal="right" vertical="center"/>
    </xf>
    <xf numFmtId="0" fontId="16" fillId="0" borderId="41" xfId="0" applyFont="1" applyBorder="1" applyAlignment="1">
      <alignment/>
    </xf>
    <xf numFmtId="0" fontId="17" fillId="0" borderId="41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vertical="center"/>
      <protection locked="0"/>
    </xf>
    <xf numFmtId="4" fontId="17" fillId="0" borderId="41" xfId="0" applyNumberFormat="1" applyFont="1" applyBorder="1" applyAlignment="1" applyProtection="1">
      <alignment vertical="center"/>
      <protection locked="0"/>
    </xf>
    <xf numFmtId="4" fontId="17" fillId="0" borderId="41" xfId="0" applyNumberFormat="1" applyFont="1" applyBorder="1" applyAlignment="1" applyProtection="1">
      <alignment horizontal="right" vertical="center"/>
      <protection locked="0"/>
    </xf>
    <xf numFmtId="0" fontId="16" fillId="0" borderId="40" xfId="37" applyFont="1" applyBorder="1" applyAlignment="1">
      <alignment vertical="top" wrapText="1"/>
      <protection/>
    </xf>
    <xf numFmtId="0" fontId="22" fillId="0" borderId="41" xfId="0" applyFont="1" applyBorder="1" applyAlignment="1">
      <alignment/>
    </xf>
    <xf numFmtId="0" fontId="18" fillId="0" borderId="0" xfId="0" applyFont="1" applyBorder="1" applyAlignment="1" applyProtection="1">
      <alignment horizontal="left" vertical="center"/>
      <protection locked="0"/>
    </xf>
    <xf numFmtId="0" fontId="16" fillId="0" borderId="37" xfId="0" applyFont="1" applyBorder="1" applyAlignment="1">
      <alignment horizontal="left"/>
    </xf>
    <xf numFmtId="0" fontId="16" fillId="0" borderId="37" xfId="0" applyFont="1" applyBorder="1" applyAlignment="1" applyProtection="1">
      <alignment horizontal="right" vertical="center"/>
      <protection locked="0"/>
    </xf>
    <xf numFmtId="0" fontId="16" fillId="0" borderId="41" xfId="0" applyFont="1" applyBorder="1" applyAlignment="1" applyProtection="1">
      <alignment horizontal="right" vertical="center"/>
      <protection locked="0"/>
    </xf>
    <xf numFmtId="169" fontId="16" fillId="0" borderId="0" xfId="0" applyNumberFormat="1" applyFont="1" applyAlignment="1">
      <alignment/>
    </xf>
    <xf numFmtId="4" fontId="16" fillId="0" borderId="38" xfId="0" applyNumberFormat="1" applyFont="1" applyBorder="1" applyAlignment="1" applyProtection="1">
      <alignment vertical="center"/>
      <protection locked="0"/>
    </xf>
    <xf numFmtId="4" fontId="16" fillId="0" borderId="38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170" fontId="24" fillId="36" borderId="42" xfId="0" applyNumberFormat="1" applyFont="1" applyFill="1" applyBorder="1" applyAlignment="1">
      <alignment horizontal="center" vertical="center" wrapText="1"/>
    </xf>
    <xf numFmtId="0" fontId="24" fillId="36" borderId="43" xfId="0" applyFont="1" applyFill="1" applyBorder="1" applyAlignment="1">
      <alignment horizontal="right" vertical="center" wrapText="1"/>
    </xf>
    <xf numFmtId="170" fontId="24" fillId="36" borderId="43" xfId="0" applyNumberFormat="1" applyFont="1" applyFill="1" applyBorder="1" applyAlignment="1">
      <alignment horizontal="left" vertical="center" wrapText="1"/>
    </xf>
    <xf numFmtId="174" fontId="24" fillId="36" borderId="44" xfId="0" applyNumberFormat="1" applyFont="1" applyFill="1" applyBorder="1" applyAlignment="1">
      <alignment horizontal="center" vertical="center" wrapText="1"/>
    </xf>
    <xf numFmtId="170" fontId="24" fillId="36" borderId="44" xfId="0" applyNumberFormat="1" applyFont="1" applyFill="1" applyBorder="1" applyAlignment="1">
      <alignment horizontal="center" vertical="center" wrapText="1"/>
    </xf>
    <xf numFmtId="170" fontId="24" fillId="36" borderId="45" xfId="0" applyNumberFormat="1" applyFont="1" applyFill="1" applyBorder="1" applyAlignment="1">
      <alignment horizontal="center" vertical="center" wrapText="1"/>
    </xf>
    <xf numFmtId="0" fontId="25" fillId="37" borderId="46" xfId="0" applyFont="1" applyFill="1" applyBorder="1" applyAlignment="1">
      <alignment vertical="center"/>
    </xf>
    <xf numFmtId="0" fontId="25" fillId="37" borderId="47" xfId="0" applyFont="1" applyFill="1" applyBorder="1" applyAlignment="1">
      <alignment vertical="center" wrapText="1"/>
    </xf>
    <xf numFmtId="0" fontId="25" fillId="37" borderId="48" xfId="0" applyFont="1" applyFill="1" applyBorder="1" applyAlignment="1">
      <alignment vertical="center" wrapText="1"/>
    </xf>
    <xf numFmtId="174" fontId="25" fillId="37" borderId="46" xfId="0" applyNumberFormat="1" applyFont="1" applyFill="1" applyBorder="1" applyAlignment="1">
      <alignment vertical="center" wrapText="1"/>
    </xf>
    <xf numFmtId="174" fontId="25" fillId="37" borderId="48" xfId="0" applyNumberFormat="1" applyFont="1" applyFill="1" applyBorder="1" applyAlignment="1">
      <alignment vertical="center" wrapText="1"/>
    </xf>
    <xf numFmtId="174" fontId="25" fillId="37" borderId="49" xfId="0" applyNumberFormat="1" applyFont="1" applyFill="1" applyBorder="1" applyAlignment="1">
      <alignment vertical="center" wrapText="1"/>
    </xf>
    <xf numFmtId="0" fontId="24" fillId="0" borderId="50" xfId="0" applyFont="1" applyBorder="1" applyAlignment="1">
      <alignment horizontal="left"/>
    </xf>
    <xf numFmtId="0" fontId="24" fillId="36" borderId="51" xfId="0" applyFont="1" applyFill="1" applyBorder="1" applyAlignment="1">
      <alignment horizontal="right" vertical="center" wrapText="1"/>
    </xf>
    <xf numFmtId="0" fontId="24" fillId="36" borderId="51" xfId="0" applyFont="1" applyFill="1" applyBorder="1" applyAlignment="1">
      <alignment horizontal="left" vertical="center" wrapText="1"/>
    </xf>
    <xf numFmtId="174" fontId="24" fillId="36" borderId="51" xfId="0" applyNumberFormat="1" applyFont="1" applyFill="1" applyBorder="1" applyAlignment="1">
      <alignment horizontal="right" vertical="center"/>
    </xf>
    <xf numFmtId="174" fontId="24" fillId="36" borderId="51" xfId="0" applyNumberFormat="1" applyFont="1" applyFill="1" applyBorder="1" applyAlignment="1">
      <alignment horizontal="right" vertical="center" wrapText="1"/>
    </xf>
    <xf numFmtId="174" fontId="24" fillId="36" borderId="42" xfId="0" applyNumberFormat="1" applyFont="1" applyFill="1" applyBorder="1" applyAlignment="1">
      <alignment horizontal="right" vertical="center" wrapText="1"/>
    </xf>
    <xf numFmtId="0" fontId="24" fillId="36" borderId="52" xfId="0" applyFont="1" applyFill="1" applyBorder="1" applyAlignment="1">
      <alignment horizontal="left" vertical="center"/>
    </xf>
    <xf numFmtId="0" fontId="24" fillId="36" borderId="33" xfId="0" applyFont="1" applyFill="1" applyBorder="1" applyAlignment="1">
      <alignment horizontal="right" vertical="center" wrapText="1"/>
    </xf>
    <xf numFmtId="0" fontId="24" fillId="36" borderId="33" xfId="0" applyFont="1" applyFill="1" applyBorder="1" applyAlignment="1">
      <alignment horizontal="left" vertical="center" wrapText="1"/>
    </xf>
    <xf numFmtId="174" fontId="24" fillId="36" borderId="33" xfId="0" applyNumberFormat="1" applyFont="1" applyFill="1" applyBorder="1" applyAlignment="1">
      <alignment horizontal="right" vertical="center"/>
    </xf>
    <xf numFmtId="174" fontId="24" fillId="36" borderId="33" xfId="0" applyNumberFormat="1" applyFont="1" applyFill="1" applyBorder="1" applyAlignment="1">
      <alignment horizontal="right" vertical="center" wrapText="1"/>
    </xf>
    <xf numFmtId="174" fontId="24" fillId="0" borderId="33" xfId="0" applyNumberFormat="1" applyFont="1" applyBorder="1" applyAlignment="1">
      <alignment vertical="center" wrapText="1"/>
    </xf>
    <xf numFmtId="174" fontId="24" fillId="0" borderId="53" xfId="0" applyNumberFormat="1" applyFont="1" applyBorder="1" applyAlignment="1">
      <alignment vertical="center" wrapText="1"/>
    </xf>
    <xf numFmtId="174" fontId="0" fillId="0" borderId="33" xfId="0" applyNumberFormat="1" applyFont="1" applyBorder="1" applyAlignment="1">
      <alignment/>
    </xf>
    <xf numFmtId="0" fontId="24" fillId="0" borderId="52" xfId="0" applyFont="1" applyBorder="1" applyAlignment="1">
      <alignment horizontal="left"/>
    </xf>
    <xf numFmtId="0" fontId="24" fillId="0" borderId="33" xfId="0" applyFont="1" applyBorder="1" applyAlignment="1">
      <alignment horizontal="right"/>
    </xf>
    <xf numFmtId="0" fontId="24" fillId="0" borderId="33" xfId="0" applyFont="1" applyBorder="1" applyAlignment="1">
      <alignment horizontal="left" vertical="center"/>
    </xf>
    <xf numFmtId="174" fontId="24" fillId="36" borderId="53" xfId="0" applyNumberFormat="1" applyFont="1" applyFill="1" applyBorder="1" applyAlignment="1">
      <alignment horizontal="right" vertical="center" wrapText="1"/>
    </xf>
    <xf numFmtId="0" fontId="26" fillId="0" borderId="52" xfId="0" applyFont="1" applyBorder="1" applyAlignment="1">
      <alignment/>
    </xf>
    <xf numFmtId="0" fontId="0" fillId="0" borderId="33" xfId="0" applyFont="1" applyBorder="1" applyAlignment="1">
      <alignment/>
    </xf>
    <xf numFmtId="0" fontId="24" fillId="0" borderId="54" xfId="0" applyFont="1" applyBorder="1" applyAlignment="1">
      <alignment horizontal="left"/>
    </xf>
    <xf numFmtId="0" fontId="24" fillId="0" borderId="44" xfId="0" applyFont="1" applyBorder="1" applyAlignment="1">
      <alignment horizontal="right"/>
    </xf>
    <xf numFmtId="0" fontId="24" fillId="0" borderId="44" xfId="0" applyFont="1" applyBorder="1" applyAlignment="1">
      <alignment horizontal="left" vertical="center"/>
    </xf>
    <xf numFmtId="174" fontId="24" fillId="0" borderId="44" xfId="0" applyNumberFormat="1" applyFont="1" applyBorder="1" applyAlignment="1">
      <alignment vertical="center" wrapText="1"/>
    </xf>
    <xf numFmtId="174" fontId="24" fillId="36" borderId="44" xfId="0" applyNumberFormat="1" applyFont="1" applyFill="1" applyBorder="1" applyAlignment="1">
      <alignment horizontal="right" vertical="center" wrapText="1"/>
    </xf>
    <xf numFmtId="174" fontId="24" fillId="0" borderId="45" xfId="0" applyNumberFormat="1" applyFont="1" applyBorder="1" applyAlignment="1">
      <alignment vertical="center" wrapText="1"/>
    </xf>
    <xf numFmtId="174" fontId="24" fillId="0" borderId="42" xfId="0" applyNumberFormat="1" applyFont="1" applyBorder="1" applyAlignment="1">
      <alignment vertical="center" wrapText="1"/>
    </xf>
    <xf numFmtId="0" fontId="25" fillId="37" borderId="30" xfId="0" applyFont="1" applyFill="1" applyBorder="1" applyAlignment="1">
      <alignment vertical="center"/>
    </xf>
    <xf numFmtId="0" fontId="25" fillId="37" borderId="31" xfId="0" applyFont="1" applyFill="1" applyBorder="1" applyAlignment="1">
      <alignment vertical="center" wrapText="1"/>
    </xf>
    <xf numFmtId="0" fontId="25" fillId="37" borderId="32" xfId="0" applyFont="1" applyFill="1" applyBorder="1" applyAlignment="1">
      <alignment vertical="center" wrapText="1"/>
    </xf>
    <xf numFmtId="174" fontId="25" fillId="37" borderId="30" xfId="0" applyNumberFormat="1" applyFont="1" applyFill="1" applyBorder="1" applyAlignment="1">
      <alignment vertical="center" wrapText="1"/>
    </xf>
    <xf numFmtId="174" fontId="25" fillId="37" borderId="32" xfId="0" applyNumberFormat="1" applyFont="1" applyFill="1" applyBorder="1" applyAlignment="1">
      <alignment vertical="center" wrapText="1"/>
    </xf>
    <xf numFmtId="174" fontId="25" fillId="37" borderId="55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24" fillId="0" borderId="51" xfId="0" applyFont="1" applyBorder="1" applyAlignment="1">
      <alignment horizontal="right"/>
    </xf>
    <xf numFmtId="0" fontId="24" fillId="0" borderId="51" xfId="0" applyFont="1" applyBorder="1" applyAlignment="1">
      <alignment horizontal="left" vertical="center"/>
    </xf>
    <xf numFmtId="174" fontId="24" fillId="0" borderId="56" xfId="0" applyNumberFormat="1" applyFont="1" applyBorder="1" applyAlignment="1">
      <alignment vertical="center" wrapText="1"/>
    </xf>
    <xf numFmtId="0" fontId="24" fillId="0" borderId="57" xfId="0" applyFont="1" applyBorder="1" applyAlignment="1">
      <alignment horizontal="left"/>
    </xf>
    <xf numFmtId="0" fontId="24" fillId="0" borderId="38" xfId="0" applyFont="1" applyBorder="1" applyAlignment="1">
      <alignment horizontal="right"/>
    </xf>
    <xf numFmtId="0" fontId="24" fillId="0" borderId="38" xfId="0" applyFont="1" applyBorder="1" applyAlignment="1">
      <alignment horizontal="left" vertical="center"/>
    </xf>
    <xf numFmtId="0" fontId="0" fillId="0" borderId="44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vertical="center"/>
      <protection locked="0"/>
    </xf>
    <xf numFmtId="168" fontId="16" fillId="0" borderId="0" xfId="0" applyNumberFormat="1" applyFont="1" applyFill="1" applyAlignment="1">
      <alignment/>
    </xf>
    <xf numFmtId="177" fontId="16" fillId="0" borderId="0" xfId="0" applyNumberFormat="1" applyFont="1" applyFill="1" applyAlignment="1">
      <alignment/>
    </xf>
    <xf numFmtId="0" fontId="16" fillId="0" borderId="38" xfId="0" applyFont="1" applyBorder="1" applyAlignment="1">
      <alignment horizontal="left"/>
    </xf>
    <xf numFmtId="0" fontId="18" fillId="35" borderId="41" xfId="0" applyFont="1" applyFill="1" applyBorder="1" applyAlignment="1">
      <alignment horizontal="left"/>
    </xf>
    <xf numFmtId="0" fontId="18" fillId="34" borderId="41" xfId="0" applyFont="1" applyFill="1" applyBorder="1" applyAlignment="1">
      <alignment horizontal="left" vertical="center"/>
    </xf>
    <xf numFmtId="0" fontId="18" fillId="34" borderId="41" xfId="0" applyFont="1" applyFill="1" applyBorder="1" applyAlignment="1">
      <alignment vertical="center"/>
    </xf>
    <xf numFmtId="4" fontId="18" fillId="34" borderId="41" xfId="0" applyNumberFormat="1" applyFont="1" applyFill="1" applyBorder="1" applyAlignment="1">
      <alignment vertical="center"/>
    </xf>
    <xf numFmtId="4" fontId="18" fillId="34" borderId="41" xfId="0" applyNumberFormat="1" applyFont="1" applyFill="1" applyBorder="1" applyAlignment="1">
      <alignment horizontal="right" vertical="center"/>
    </xf>
    <xf numFmtId="0" fontId="18" fillId="0" borderId="41" xfId="0" applyFont="1" applyBorder="1" applyAlignment="1">
      <alignment horizontal="left" vertical="center"/>
    </xf>
    <xf numFmtId="0" fontId="18" fillId="0" borderId="41" xfId="0" applyFont="1" applyBorder="1" applyAlignment="1">
      <alignment/>
    </xf>
    <xf numFmtId="0" fontId="16" fillId="0" borderId="41" xfId="0" applyFont="1" applyBorder="1" applyAlignment="1">
      <alignment horizontal="right"/>
    </xf>
    <xf numFmtId="4" fontId="16" fillId="0" borderId="41" xfId="0" applyNumberFormat="1" applyFont="1" applyBorder="1" applyAlignment="1">
      <alignment/>
    </xf>
    <xf numFmtId="49" fontId="16" fillId="0" borderId="41" xfId="0" applyNumberFormat="1" applyFont="1" applyBorder="1" applyAlignment="1" applyProtection="1">
      <alignment horizontal="right" vertical="center"/>
      <protection locked="0"/>
    </xf>
    <xf numFmtId="0" fontId="18" fillId="0" borderId="41" xfId="0" applyFont="1" applyBorder="1" applyAlignment="1">
      <alignment vertical="center"/>
    </xf>
    <xf numFmtId="4" fontId="18" fillId="0" borderId="41" xfId="0" applyNumberFormat="1" applyFont="1" applyBorder="1" applyAlignment="1">
      <alignment vertical="center"/>
    </xf>
    <xf numFmtId="4" fontId="18" fillId="0" borderId="41" xfId="0" applyNumberFormat="1" applyFont="1" applyBorder="1" applyAlignment="1">
      <alignment horizontal="right" vertical="center"/>
    </xf>
    <xf numFmtId="0" fontId="16" fillId="0" borderId="41" xfId="0" applyFont="1" applyBorder="1" applyAlignment="1">
      <alignment horizontal="left" vertical="center"/>
    </xf>
    <xf numFmtId="0" fontId="16" fillId="0" borderId="41" xfId="0" applyFont="1" applyBorder="1" applyAlignment="1">
      <alignment wrapText="1"/>
    </xf>
    <xf numFmtId="4" fontId="16" fillId="0" borderId="41" xfId="0" applyNumberFormat="1" applyFont="1" applyFill="1" applyBorder="1" applyAlignment="1">
      <alignment vertical="center"/>
    </xf>
    <xf numFmtId="4" fontId="16" fillId="0" borderId="41" xfId="0" applyNumberFormat="1" applyFont="1" applyBorder="1" applyAlignment="1">
      <alignment vertical="center"/>
    </xf>
    <xf numFmtId="0" fontId="16" fillId="0" borderId="41" xfId="0" applyFont="1" applyBorder="1" applyAlignment="1">
      <alignment horizontal="right" vertical="center"/>
    </xf>
    <xf numFmtId="49" fontId="16" fillId="0" borderId="41" xfId="0" applyNumberFormat="1" applyFont="1" applyBorder="1" applyAlignment="1">
      <alignment horizontal="right" vertical="center"/>
    </xf>
    <xf numFmtId="0" fontId="16" fillId="0" borderId="41" xfId="0" applyFont="1" applyFill="1" applyBorder="1" applyAlignment="1">
      <alignment vertical="center"/>
    </xf>
    <xf numFmtId="4" fontId="16" fillId="0" borderId="41" xfId="0" applyNumberFormat="1" applyFont="1" applyBorder="1" applyAlignment="1">
      <alignment horizontal="right" vertical="center"/>
    </xf>
    <xf numFmtId="0" fontId="16" fillId="0" borderId="41" xfId="0" applyFont="1" applyBorder="1" applyAlignment="1">
      <alignment vertical="center"/>
    </xf>
    <xf numFmtId="49" fontId="16" fillId="0" borderId="41" xfId="0" applyNumberFormat="1" applyFont="1" applyBorder="1" applyAlignment="1">
      <alignment horizontal="left" vertical="center"/>
    </xf>
    <xf numFmtId="0" fontId="16" fillId="0" borderId="41" xfId="0" applyFont="1" applyFill="1" applyBorder="1" applyAlignment="1">
      <alignment horizontal="left"/>
    </xf>
    <xf numFmtId="49" fontId="16" fillId="0" borderId="41" xfId="0" applyNumberFormat="1" applyFont="1" applyFill="1" applyBorder="1" applyAlignment="1">
      <alignment horizontal="right"/>
    </xf>
    <xf numFmtId="0" fontId="16" fillId="0" borderId="41" xfId="0" applyFont="1" applyFill="1" applyBorder="1" applyAlignment="1">
      <alignment/>
    </xf>
    <xf numFmtId="4" fontId="16" fillId="0" borderId="41" xfId="0" applyNumberFormat="1" applyFont="1" applyFill="1" applyBorder="1" applyAlignment="1">
      <alignment horizontal="right"/>
    </xf>
    <xf numFmtId="4" fontId="16" fillId="0" borderId="41" xfId="0" applyNumberFormat="1" applyFont="1" applyFill="1" applyBorder="1" applyAlignment="1">
      <alignment horizontal="right" vertical="center"/>
    </xf>
    <xf numFmtId="49" fontId="16" fillId="0" borderId="41" xfId="0" applyNumberFormat="1" applyFont="1" applyFill="1" applyBorder="1" applyAlignment="1">
      <alignment horizontal="right" vertical="center"/>
    </xf>
    <xf numFmtId="2" fontId="16" fillId="0" borderId="41" xfId="0" applyNumberFormat="1" applyFont="1" applyBorder="1" applyAlignment="1">
      <alignment/>
    </xf>
    <xf numFmtId="0" fontId="16" fillId="0" borderId="41" xfId="0" applyFont="1" applyFill="1" applyBorder="1" applyAlignment="1" applyProtection="1">
      <alignment horizontal="left" vertical="center"/>
      <protection locked="0"/>
    </xf>
    <xf numFmtId="0" fontId="16" fillId="0" borderId="41" xfId="0" applyFont="1" applyFill="1" applyBorder="1" applyAlignment="1" applyProtection="1">
      <alignment vertical="center"/>
      <protection locked="0"/>
    </xf>
    <xf numFmtId="4" fontId="16" fillId="0" borderId="41" xfId="0" applyNumberFormat="1" applyFont="1" applyFill="1" applyBorder="1" applyAlignment="1" applyProtection="1">
      <alignment vertical="center"/>
      <protection locked="0"/>
    </xf>
    <xf numFmtId="4" fontId="16" fillId="0" borderId="41" xfId="0" applyNumberFormat="1" applyFont="1" applyFill="1" applyBorder="1" applyAlignment="1" applyProtection="1">
      <alignment horizontal="right" vertical="center"/>
      <protection locked="0"/>
    </xf>
    <xf numFmtId="0" fontId="16" fillId="0" borderId="41" xfId="0" applyFont="1" applyFill="1" applyBorder="1" applyAlignment="1">
      <alignment horizontal="right" vertical="center"/>
    </xf>
    <xf numFmtId="49" fontId="16" fillId="0" borderId="41" xfId="0" applyNumberFormat="1" applyFont="1" applyFill="1" applyBorder="1" applyAlignment="1" applyProtection="1">
      <alignment horizontal="right" vertical="center"/>
      <protection locked="0"/>
    </xf>
    <xf numFmtId="2" fontId="16" fillId="0" borderId="41" xfId="0" applyNumberFormat="1" applyFont="1" applyFill="1" applyBorder="1" applyAlignment="1">
      <alignment horizontal="right"/>
    </xf>
    <xf numFmtId="4" fontId="16" fillId="0" borderId="41" xfId="0" applyNumberFormat="1" applyFont="1" applyBorder="1" applyAlignment="1">
      <alignment horizontal="right"/>
    </xf>
    <xf numFmtId="1" fontId="16" fillId="0" borderId="41" xfId="0" applyNumberFormat="1" applyFont="1" applyBorder="1" applyAlignment="1" applyProtection="1">
      <alignment horizontal="left" vertical="center"/>
      <protection locked="0"/>
    </xf>
    <xf numFmtId="169" fontId="16" fillId="0" borderId="41" xfId="0" applyNumberFormat="1" applyFont="1" applyBorder="1" applyAlignment="1" applyProtection="1">
      <alignment vertical="center"/>
      <protection locked="0"/>
    </xf>
    <xf numFmtId="49" fontId="18" fillId="0" borderId="41" xfId="0" applyNumberFormat="1" applyFont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49" fontId="16" fillId="0" borderId="41" xfId="0" applyNumberFormat="1" applyFont="1" applyFill="1" applyBorder="1" applyAlignment="1">
      <alignment horizontal="left" vertical="center"/>
    </xf>
    <xf numFmtId="49" fontId="16" fillId="0" borderId="41" xfId="0" applyNumberFormat="1" applyFont="1" applyFill="1" applyBorder="1" applyAlignment="1">
      <alignment horizontal="left"/>
    </xf>
    <xf numFmtId="0" fontId="16" fillId="0" borderId="41" xfId="0" applyFont="1" applyFill="1" applyBorder="1" applyAlignment="1">
      <alignment horizontal="right"/>
    </xf>
    <xf numFmtId="49" fontId="18" fillId="0" borderId="41" xfId="36" applyNumberFormat="1" applyFont="1" applyBorder="1" applyAlignment="1">
      <alignment horizontal="left"/>
      <protection/>
    </xf>
    <xf numFmtId="0" fontId="18" fillId="0" borderId="41" xfId="36" applyFont="1" applyBorder="1">
      <alignment/>
      <protection/>
    </xf>
    <xf numFmtId="0" fontId="16" fillId="0" borderId="41" xfId="37" applyFont="1" applyBorder="1" applyAlignment="1">
      <alignment horizontal="left" vertical="top"/>
      <protection/>
    </xf>
    <xf numFmtId="49" fontId="16" fillId="0" borderId="41" xfId="37" applyNumberFormat="1" applyFont="1" applyBorder="1" applyAlignment="1">
      <alignment horizontal="left" vertical="top"/>
      <protection/>
    </xf>
    <xf numFmtId="0" fontId="16" fillId="0" borderId="41" xfId="37" applyFont="1" applyBorder="1" applyAlignment="1">
      <alignment vertical="top" wrapText="1"/>
      <protection/>
    </xf>
    <xf numFmtId="49" fontId="16" fillId="0" borderId="41" xfId="37" applyNumberFormat="1" applyFont="1" applyBorder="1" applyAlignment="1">
      <alignment horizontal="left" shrinkToFit="1"/>
      <protection/>
    </xf>
    <xf numFmtId="4" fontId="16" fillId="0" borderId="41" xfId="37" applyNumberFormat="1" applyFont="1" applyBorder="1" applyAlignment="1">
      <alignment horizontal="right"/>
      <protection/>
    </xf>
    <xf numFmtId="4" fontId="16" fillId="0" borderId="41" xfId="37" applyNumberFormat="1" applyFont="1" applyBorder="1">
      <alignment/>
      <protection/>
    </xf>
    <xf numFmtId="0" fontId="16" fillId="0" borderId="41" xfId="37" applyFont="1" applyBorder="1" applyAlignment="1">
      <alignment horizontal="left" vertical="top" wrapText="1"/>
      <protection/>
    </xf>
    <xf numFmtId="49" fontId="16" fillId="0" borderId="41" xfId="36" applyNumberFormat="1" applyFont="1" applyBorder="1" applyAlignment="1">
      <alignment horizontal="left" shrinkToFit="1"/>
      <protection/>
    </xf>
    <xf numFmtId="4" fontId="16" fillId="0" borderId="41" xfId="36" applyNumberFormat="1" applyFont="1" applyBorder="1" applyAlignment="1">
      <alignment horizontal="right"/>
      <protection/>
    </xf>
    <xf numFmtId="4" fontId="16" fillId="0" borderId="41" xfId="36" applyNumberFormat="1" applyFont="1" applyBorder="1">
      <alignment/>
      <protection/>
    </xf>
    <xf numFmtId="49" fontId="16" fillId="0" borderId="41" xfId="36" applyNumberFormat="1" applyFont="1" applyBorder="1" applyAlignment="1">
      <alignment horizontal="left" vertical="top"/>
      <protection/>
    </xf>
    <xf numFmtId="0" fontId="16" fillId="0" borderId="41" xfId="36" applyFont="1" applyBorder="1" applyAlignment="1">
      <alignment vertical="top" wrapText="1"/>
      <protection/>
    </xf>
    <xf numFmtId="0" fontId="16" fillId="0" borderId="41" xfId="36" applyFont="1" applyBorder="1" applyAlignment="1">
      <alignment horizontal="left"/>
      <protection/>
    </xf>
    <xf numFmtId="4" fontId="16" fillId="0" borderId="41" xfId="37" applyNumberFormat="1" applyFont="1" applyFill="1" applyBorder="1" applyAlignment="1">
      <alignment horizontal="right"/>
      <protection/>
    </xf>
    <xf numFmtId="49" fontId="18" fillId="0" borderId="41" xfId="36" applyNumberFormat="1" applyFont="1" applyFill="1" applyBorder="1" applyAlignment="1">
      <alignment horizontal="left"/>
      <protection/>
    </xf>
    <xf numFmtId="0" fontId="18" fillId="0" borderId="41" xfId="36" applyFont="1" applyFill="1" applyBorder="1">
      <alignment/>
      <protection/>
    </xf>
    <xf numFmtId="0" fontId="16" fillId="0" borderId="41" xfId="36" applyFont="1" applyFill="1" applyBorder="1" applyAlignment="1">
      <alignment horizontal="left"/>
      <protection/>
    </xf>
    <xf numFmtId="4" fontId="16" fillId="0" borderId="41" xfId="36" applyNumberFormat="1" applyFont="1" applyFill="1" applyBorder="1" applyAlignment="1">
      <alignment horizontal="right"/>
      <protection/>
    </xf>
    <xf numFmtId="4" fontId="16" fillId="0" borderId="41" xfId="36" applyNumberFormat="1" applyFont="1" applyFill="1" applyBorder="1">
      <alignment/>
      <protection/>
    </xf>
    <xf numFmtId="49" fontId="16" fillId="0" borderId="41" xfId="36" applyNumberFormat="1" applyFont="1" applyFill="1" applyBorder="1" applyAlignment="1">
      <alignment horizontal="left"/>
      <protection/>
    </xf>
    <xf numFmtId="0" fontId="16" fillId="0" borderId="41" xfId="36" applyFont="1" applyFill="1" applyBorder="1">
      <alignment/>
      <protection/>
    </xf>
    <xf numFmtId="4" fontId="16" fillId="0" borderId="41" xfId="37" applyNumberFormat="1" applyFont="1" applyFill="1" applyBorder="1">
      <alignment/>
      <protection/>
    </xf>
    <xf numFmtId="49" fontId="16" fillId="0" borderId="41" xfId="37" applyNumberFormat="1" applyFont="1" applyFill="1" applyBorder="1" applyAlignment="1">
      <alignment horizontal="left" vertical="top"/>
      <protection/>
    </xf>
    <xf numFmtId="0" fontId="16" fillId="0" borderId="41" xfId="37" applyFont="1" applyFill="1" applyBorder="1" applyAlignment="1">
      <alignment vertical="top" wrapText="1"/>
      <protection/>
    </xf>
    <xf numFmtId="49" fontId="16" fillId="0" borderId="41" xfId="37" applyNumberFormat="1" applyFont="1" applyFill="1" applyBorder="1" applyAlignment="1">
      <alignment horizontal="left" shrinkToFit="1"/>
      <protection/>
    </xf>
    <xf numFmtId="0" fontId="18" fillId="0" borderId="41" xfId="0" applyFont="1" applyBorder="1" applyAlignment="1" applyProtection="1">
      <alignment horizontal="left" vertical="center"/>
      <protection locked="0"/>
    </xf>
    <xf numFmtId="0" fontId="18" fillId="0" borderId="41" xfId="0" applyFont="1" applyBorder="1" applyAlignment="1" applyProtection="1">
      <alignment vertical="center"/>
      <protection locked="0"/>
    </xf>
    <xf numFmtId="49" fontId="16" fillId="0" borderId="41" xfId="0" applyNumberFormat="1" applyFont="1" applyBorder="1" applyAlignment="1">
      <alignment horizontal="right"/>
    </xf>
    <xf numFmtId="0" fontId="22" fillId="0" borderId="41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 horizontal="left" vertical="center"/>
    </xf>
    <xf numFmtId="4" fontId="16" fillId="0" borderId="41" xfId="0" applyNumberFormat="1" applyFont="1" applyBorder="1" applyAlignment="1">
      <alignment vertical="center"/>
    </xf>
    <xf numFmtId="4" fontId="16" fillId="0" borderId="41" xfId="0" applyNumberFormat="1" applyFont="1" applyBorder="1" applyAlignment="1">
      <alignment horizontal="right"/>
    </xf>
    <xf numFmtId="4" fontId="16" fillId="0" borderId="41" xfId="0" applyNumberFormat="1" applyFont="1" applyBorder="1" applyAlignment="1">
      <alignment horizontal="right" vertical="center"/>
    </xf>
    <xf numFmtId="49" fontId="16" fillId="0" borderId="41" xfId="0" applyNumberFormat="1" applyFont="1" applyBorder="1" applyAlignment="1" applyProtection="1">
      <alignment horizontal="left" vertical="center"/>
      <protection locked="0"/>
    </xf>
    <xf numFmtId="3" fontId="16" fillId="0" borderId="41" xfId="0" applyNumberFormat="1" applyFont="1" applyBorder="1" applyAlignment="1" applyProtection="1">
      <alignment horizontal="left" vertical="center"/>
      <protection locked="0"/>
    </xf>
    <xf numFmtId="0" fontId="16" fillId="0" borderId="41" xfId="0" applyNumberFormat="1" applyFont="1" applyBorder="1" applyAlignment="1" applyProtection="1">
      <alignment horizontal="left" vertical="center"/>
      <protection locked="0"/>
    </xf>
    <xf numFmtId="0" fontId="18" fillId="0" borderId="41" xfId="0" applyFont="1" applyBorder="1" applyAlignment="1">
      <alignment horizontal="left"/>
    </xf>
    <xf numFmtId="4" fontId="18" fillId="0" borderId="41" xfId="0" applyNumberFormat="1" applyFont="1" applyBorder="1" applyAlignment="1" applyProtection="1">
      <alignment vertical="center"/>
      <protection locked="0"/>
    </xf>
    <xf numFmtId="0" fontId="23" fillId="0" borderId="41" xfId="0" applyFont="1" applyBorder="1" applyAlignment="1" applyProtection="1">
      <alignment vertical="center"/>
      <protection locked="0"/>
    </xf>
    <xf numFmtId="0" fontId="16" fillId="35" borderId="58" xfId="0" applyFont="1" applyFill="1" applyBorder="1" applyAlignment="1">
      <alignment horizontal="left"/>
    </xf>
    <xf numFmtId="0" fontId="16" fillId="34" borderId="58" xfId="0" applyFont="1" applyFill="1" applyBorder="1" applyAlignment="1">
      <alignment horizontal="left"/>
    </xf>
    <xf numFmtId="0" fontId="18" fillId="34" borderId="58" xfId="0" applyFont="1" applyFill="1" applyBorder="1" applyAlignment="1">
      <alignment vertical="center"/>
    </xf>
    <xf numFmtId="4" fontId="16" fillId="34" borderId="58" xfId="0" applyNumberFormat="1" applyFont="1" applyFill="1" applyBorder="1" applyAlignment="1">
      <alignment/>
    </xf>
    <xf numFmtId="4" fontId="18" fillId="34" borderId="58" xfId="0" applyNumberFormat="1" applyFont="1" applyFill="1" applyBorder="1" applyAlignment="1">
      <alignment horizontal="right" vertical="center"/>
    </xf>
    <xf numFmtId="0" fontId="16" fillId="0" borderId="59" xfId="0" applyFont="1" applyBorder="1" applyAlignment="1">
      <alignment horizontal="left"/>
    </xf>
    <xf numFmtId="49" fontId="16" fillId="0" borderId="59" xfId="0" applyNumberFormat="1" applyFont="1" applyBorder="1" applyAlignment="1" applyProtection="1">
      <alignment horizontal="right" vertical="center"/>
      <protection locked="0"/>
    </xf>
    <xf numFmtId="0" fontId="16" fillId="0" borderId="59" xfId="0" applyFont="1" applyBorder="1" applyAlignment="1">
      <alignment/>
    </xf>
    <xf numFmtId="4" fontId="16" fillId="0" borderId="59" xfId="0" applyNumberFormat="1" applyFont="1" applyBorder="1" applyAlignment="1">
      <alignment/>
    </xf>
    <xf numFmtId="4" fontId="16" fillId="0" borderId="59" xfId="0" applyNumberFormat="1" applyFont="1" applyBorder="1" applyAlignment="1" applyProtection="1">
      <alignment horizontal="right" vertical="center"/>
      <protection locked="0"/>
    </xf>
    <xf numFmtId="0" fontId="18" fillId="34" borderId="58" xfId="0" applyFont="1" applyFill="1" applyBorder="1" applyAlignment="1">
      <alignment horizontal="left" vertical="center"/>
    </xf>
    <xf numFmtId="4" fontId="18" fillId="34" borderId="58" xfId="0" applyNumberFormat="1" applyFont="1" applyFill="1" applyBorder="1" applyAlignment="1">
      <alignment vertical="center"/>
    </xf>
    <xf numFmtId="0" fontId="16" fillId="0" borderId="59" xfId="0" applyFont="1" applyBorder="1" applyAlignment="1" applyProtection="1">
      <alignment horizontal="left" vertical="center"/>
      <protection locked="0"/>
    </xf>
    <xf numFmtId="1" fontId="16" fillId="0" borderId="59" xfId="0" applyNumberFormat="1" applyFont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vertical="center"/>
      <protection locked="0"/>
    </xf>
    <xf numFmtId="4" fontId="16" fillId="0" borderId="59" xfId="0" applyNumberFormat="1" applyFont="1" applyBorder="1" applyAlignment="1" applyProtection="1">
      <alignment vertical="center"/>
      <protection locked="0"/>
    </xf>
    <xf numFmtId="4" fontId="16" fillId="0" borderId="59" xfId="0" applyNumberFormat="1" applyFont="1" applyBorder="1" applyAlignment="1">
      <alignment horizontal="right"/>
    </xf>
    <xf numFmtId="4" fontId="16" fillId="0" borderId="59" xfId="0" applyNumberFormat="1" applyFont="1" applyBorder="1" applyAlignment="1">
      <alignment vertical="center"/>
    </xf>
    <xf numFmtId="4" fontId="16" fillId="0" borderId="59" xfId="0" applyNumberFormat="1" applyFont="1" applyBorder="1" applyAlignment="1">
      <alignment horizontal="right" vertical="center"/>
    </xf>
    <xf numFmtId="0" fontId="16" fillId="0" borderId="59" xfId="0" applyFont="1" applyBorder="1" applyAlignment="1">
      <alignment horizontal="left" vertical="center"/>
    </xf>
    <xf numFmtId="49" fontId="16" fillId="34" borderId="58" xfId="36" applyNumberFormat="1" applyFont="1" applyFill="1" applyBorder="1" applyAlignment="1">
      <alignment horizontal="left" vertical="top"/>
      <protection/>
    </xf>
    <xf numFmtId="49" fontId="16" fillId="34" borderId="58" xfId="36" applyNumberFormat="1" applyFont="1" applyFill="1" applyBorder="1" applyAlignment="1">
      <alignment horizontal="left" shrinkToFit="1"/>
      <protection/>
    </xf>
    <xf numFmtId="4" fontId="16" fillId="34" borderId="58" xfId="36" applyNumberFormat="1" applyFont="1" applyFill="1" applyBorder="1" applyAlignment="1">
      <alignment horizontal="right"/>
      <protection/>
    </xf>
    <xf numFmtId="4" fontId="18" fillId="34" borderId="58" xfId="36" applyNumberFormat="1" applyFont="1" applyFill="1" applyBorder="1">
      <alignment/>
      <protection/>
    </xf>
    <xf numFmtId="0" fontId="16" fillId="0" borderId="59" xfId="37" applyFont="1" applyBorder="1" applyAlignment="1">
      <alignment horizontal="left" vertical="top"/>
      <protection/>
    </xf>
    <xf numFmtId="49" fontId="16" fillId="0" borderId="59" xfId="36" applyNumberFormat="1" applyFont="1" applyBorder="1" applyAlignment="1">
      <alignment horizontal="left" vertical="top"/>
      <protection/>
    </xf>
    <xf numFmtId="0" fontId="16" fillId="0" borderId="59" xfId="36" applyFont="1" applyBorder="1" applyAlignment="1">
      <alignment vertical="top" wrapText="1"/>
      <protection/>
    </xf>
    <xf numFmtId="49" fontId="16" fillId="0" borderId="59" xfId="36" applyNumberFormat="1" applyFont="1" applyBorder="1" applyAlignment="1">
      <alignment horizontal="left" shrinkToFit="1"/>
      <protection/>
    </xf>
    <xf numFmtId="4" fontId="16" fillId="0" borderId="59" xfId="36" applyNumberFormat="1" applyFont="1" applyBorder="1" applyAlignment="1">
      <alignment horizontal="right"/>
      <protection/>
    </xf>
    <xf numFmtId="4" fontId="16" fillId="0" borderId="59" xfId="36" applyNumberFormat="1" applyFont="1" applyBorder="1">
      <alignment/>
      <protection/>
    </xf>
    <xf numFmtId="4" fontId="16" fillId="0" borderId="59" xfId="37" applyNumberFormat="1" applyFont="1" applyBorder="1">
      <alignment/>
      <protection/>
    </xf>
    <xf numFmtId="49" fontId="16" fillId="0" borderId="59" xfId="37" applyNumberFormat="1" applyFont="1" applyBorder="1" applyAlignment="1">
      <alignment horizontal="left" vertical="top"/>
      <protection/>
    </xf>
    <xf numFmtId="0" fontId="16" fillId="0" borderId="59" xfId="37" applyFont="1" applyBorder="1" applyAlignment="1">
      <alignment vertical="top" wrapText="1"/>
      <protection/>
    </xf>
    <xf numFmtId="49" fontId="16" fillId="0" borderId="59" xfId="37" applyNumberFormat="1" applyFont="1" applyBorder="1" applyAlignment="1">
      <alignment horizontal="left" shrinkToFit="1"/>
      <protection/>
    </xf>
    <xf numFmtId="4" fontId="16" fillId="0" borderId="59" xfId="37" applyNumberFormat="1" applyFont="1" applyBorder="1" applyAlignment="1">
      <alignment horizontal="right"/>
      <protection/>
    </xf>
    <xf numFmtId="49" fontId="21" fillId="38" borderId="58" xfId="36" applyNumberFormat="1" applyFont="1" applyFill="1" applyBorder="1" applyAlignment="1">
      <alignment horizontal="left"/>
      <protection/>
    </xf>
    <xf numFmtId="0" fontId="18" fillId="38" borderId="58" xfId="0" applyFont="1" applyFill="1" applyBorder="1" applyAlignment="1">
      <alignment vertical="center"/>
    </xf>
    <xf numFmtId="0" fontId="16" fillId="38" borderId="58" xfId="36" applyFont="1" applyFill="1" applyBorder="1" applyAlignment="1">
      <alignment horizontal="left"/>
      <protection/>
    </xf>
    <xf numFmtId="4" fontId="16" fillId="38" borderId="58" xfId="36" applyNumberFormat="1" applyFont="1" applyFill="1" applyBorder="1" applyAlignment="1">
      <alignment horizontal="right"/>
      <protection/>
    </xf>
    <xf numFmtId="4" fontId="18" fillId="38" borderId="58" xfId="36" applyNumberFormat="1" applyFont="1" applyFill="1" applyBorder="1">
      <alignment/>
      <protection/>
    </xf>
    <xf numFmtId="49" fontId="21" fillId="35" borderId="58" xfId="36" applyNumberFormat="1" applyFont="1" applyFill="1" applyBorder="1" applyAlignment="1">
      <alignment horizontal="left"/>
      <protection/>
    </xf>
    <xf numFmtId="0" fontId="18" fillId="35" borderId="58" xfId="0" applyFont="1" applyFill="1" applyBorder="1" applyAlignment="1">
      <alignment vertical="center"/>
    </xf>
    <xf numFmtId="0" fontId="16" fillId="35" borderId="58" xfId="36" applyFont="1" applyFill="1" applyBorder="1" applyAlignment="1">
      <alignment horizontal="left"/>
      <protection/>
    </xf>
    <xf numFmtId="4" fontId="16" fillId="35" borderId="58" xfId="36" applyNumberFormat="1" applyFont="1" applyFill="1" applyBorder="1" applyAlignment="1">
      <alignment horizontal="right"/>
      <protection/>
    </xf>
    <xf numFmtId="4" fontId="18" fillId="35" borderId="58" xfId="36" applyNumberFormat="1" applyFont="1" applyFill="1" applyBorder="1">
      <alignment/>
      <protection/>
    </xf>
    <xf numFmtId="0" fontId="16" fillId="0" borderId="59" xfId="0" applyFont="1" applyFill="1" applyBorder="1" applyAlignment="1">
      <alignment horizontal="left"/>
    </xf>
    <xf numFmtId="49" fontId="16" fillId="0" borderId="59" xfId="36" applyNumberFormat="1" applyFont="1" applyFill="1" applyBorder="1" applyAlignment="1">
      <alignment horizontal="left" vertical="top"/>
      <protection/>
    </xf>
    <xf numFmtId="0" fontId="16" fillId="0" borderId="59" xfId="36" applyFont="1" applyFill="1" applyBorder="1" applyAlignment="1">
      <alignment vertical="top" wrapText="1"/>
      <protection/>
    </xf>
    <xf numFmtId="49" fontId="16" fillId="0" borderId="59" xfId="36" applyNumberFormat="1" applyFont="1" applyFill="1" applyBorder="1" applyAlignment="1">
      <alignment horizontal="left" shrinkToFit="1"/>
      <protection/>
    </xf>
    <xf numFmtId="4" fontId="16" fillId="0" borderId="59" xfId="36" applyNumberFormat="1" applyFont="1" applyFill="1" applyBorder="1" applyAlignment="1">
      <alignment horizontal="right"/>
      <protection/>
    </xf>
    <xf numFmtId="4" fontId="16" fillId="0" borderId="59" xfId="36" applyNumberFormat="1" applyFont="1" applyFill="1" applyBorder="1">
      <alignment/>
      <protection/>
    </xf>
    <xf numFmtId="0" fontId="16" fillId="34" borderId="58" xfId="0" applyFont="1" applyFill="1" applyBorder="1" applyAlignment="1" applyProtection="1">
      <alignment horizontal="left" vertical="center"/>
      <protection locked="0"/>
    </xf>
    <xf numFmtId="0" fontId="18" fillId="34" borderId="58" xfId="0" applyFont="1" applyFill="1" applyBorder="1" applyAlignment="1" applyProtection="1">
      <alignment vertical="center"/>
      <protection locked="0"/>
    </xf>
    <xf numFmtId="4" fontId="16" fillId="34" borderId="58" xfId="0" applyNumberFormat="1" applyFont="1" applyFill="1" applyBorder="1" applyAlignment="1" applyProtection="1">
      <alignment vertical="center"/>
      <protection locked="0"/>
    </xf>
    <xf numFmtId="4" fontId="18" fillId="34" borderId="58" xfId="0" applyNumberFormat="1" applyFont="1" applyFill="1" applyBorder="1" applyAlignment="1" applyProtection="1">
      <alignment horizontal="right" vertical="center"/>
      <protection locked="0"/>
    </xf>
    <xf numFmtId="0" fontId="16" fillId="0" borderId="59" xfId="0" applyFont="1" applyBorder="1" applyAlignment="1" applyProtection="1">
      <alignment horizontal="right" vertical="center"/>
      <protection locked="0"/>
    </xf>
    <xf numFmtId="49" fontId="16" fillId="0" borderId="59" xfId="0" applyNumberFormat="1" applyFont="1" applyBorder="1" applyAlignment="1" applyProtection="1">
      <alignment horizontal="left" vertical="center"/>
      <protection locked="0"/>
    </xf>
    <xf numFmtId="0" fontId="16" fillId="0" borderId="37" xfId="0" applyFont="1" applyBorder="1" applyAlignment="1">
      <alignment horizontal="left" vertical="center"/>
    </xf>
    <xf numFmtId="49" fontId="16" fillId="0" borderId="38" xfId="0" applyNumberFormat="1" applyFont="1" applyFill="1" applyBorder="1" applyAlignment="1">
      <alignment horizontal="right" vertical="center"/>
    </xf>
    <xf numFmtId="0" fontId="16" fillId="0" borderId="40" xfId="0" applyFont="1" applyFill="1" applyBorder="1" applyAlignment="1" applyProtection="1">
      <alignment vertical="center"/>
      <protection locked="0"/>
    </xf>
    <xf numFmtId="0" fontId="16" fillId="0" borderId="40" xfId="0" applyFont="1" applyFill="1" applyBorder="1" applyAlignment="1">
      <alignment/>
    </xf>
    <xf numFmtId="4" fontId="16" fillId="0" borderId="40" xfId="0" applyNumberFormat="1" applyFont="1" applyFill="1" applyBorder="1" applyAlignment="1" applyProtection="1">
      <alignment horizontal="right" vertical="center"/>
      <protection locked="0"/>
    </xf>
    <xf numFmtId="4" fontId="16" fillId="0" borderId="40" xfId="0" applyNumberFormat="1" applyFont="1" applyFill="1" applyBorder="1" applyAlignment="1">
      <alignment horizontal="right"/>
    </xf>
    <xf numFmtId="4" fontId="16" fillId="0" borderId="40" xfId="0" applyNumberFormat="1" applyFont="1" applyFill="1" applyBorder="1" applyAlignment="1">
      <alignment horizontal="right" vertical="center"/>
    </xf>
    <xf numFmtId="0" fontId="16" fillId="0" borderId="41" xfId="0" applyFont="1" applyFill="1" applyBorder="1" applyAlignment="1">
      <alignment/>
    </xf>
    <xf numFmtId="0" fontId="16" fillId="35" borderId="60" xfId="0" applyFont="1" applyFill="1" applyBorder="1" applyAlignment="1">
      <alignment horizontal="left"/>
    </xf>
    <xf numFmtId="0" fontId="18" fillId="34" borderId="16" xfId="0" applyFont="1" applyFill="1" applyBorder="1" applyAlignment="1">
      <alignment horizontal="left" vertical="center"/>
    </xf>
    <xf numFmtId="0" fontId="18" fillId="34" borderId="16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4" fontId="18" fillId="34" borderId="0" xfId="0" applyNumberFormat="1" applyFont="1" applyFill="1" applyBorder="1" applyAlignment="1">
      <alignment vertical="center"/>
    </xf>
    <xf numFmtId="4" fontId="18" fillId="34" borderId="40" xfId="0" applyNumberFormat="1" applyFont="1" applyFill="1" applyBorder="1" applyAlignment="1">
      <alignment horizontal="right" vertical="center"/>
    </xf>
    <xf numFmtId="0" fontId="16" fillId="0" borderId="38" xfId="0" applyFont="1" applyBorder="1" applyAlignment="1" applyProtection="1">
      <alignment horizontal="right" vertical="center"/>
      <protection locked="0"/>
    </xf>
    <xf numFmtId="1" fontId="20" fillId="0" borderId="38" xfId="0" applyNumberFormat="1" applyFont="1" applyBorder="1" applyAlignment="1" applyProtection="1">
      <alignment horizontal="left" vertical="center"/>
      <protection locked="0"/>
    </xf>
    <xf numFmtId="1" fontId="20" fillId="0" borderId="41" xfId="0" applyNumberFormat="1" applyFont="1" applyBorder="1" applyAlignment="1" applyProtection="1">
      <alignment horizontal="left" vertical="center"/>
      <protection locked="0"/>
    </xf>
    <xf numFmtId="0" fontId="18" fillId="34" borderId="40" xfId="0" applyFont="1" applyFill="1" applyBorder="1" applyAlignment="1">
      <alignment horizontal="left" vertical="center"/>
    </xf>
    <xf numFmtId="4" fontId="18" fillId="34" borderId="17" xfId="0" applyNumberFormat="1" applyFont="1" applyFill="1" applyBorder="1" applyAlignment="1">
      <alignment vertical="center"/>
    </xf>
    <xf numFmtId="0" fontId="16" fillId="0" borderId="40" xfId="37" applyFont="1" applyBorder="1" applyAlignment="1">
      <alignment horizontal="left" vertical="top"/>
      <protection/>
    </xf>
    <xf numFmtId="49" fontId="16" fillId="0" borderId="40" xfId="37" applyNumberFormat="1" applyFont="1" applyBorder="1" applyAlignment="1">
      <alignment horizontal="left" vertical="top"/>
      <protection/>
    </xf>
    <xf numFmtId="49" fontId="16" fillId="0" borderId="40" xfId="37" applyNumberFormat="1" applyFont="1" applyBorder="1" applyAlignment="1">
      <alignment horizontal="center" shrinkToFit="1"/>
      <protection/>
    </xf>
    <xf numFmtId="4" fontId="16" fillId="0" borderId="40" xfId="37" applyNumberFormat="1" applyFont="1" applyBorder="1" applyAlignment="1">
      <alignment horizontal="right"/>
      <protection/>
    </xf>
    <xf numFmtId="4" fontId="16" fillId="0" borderId="40" xfId="37" applyNumberFormat="1" applyFont="1" applyBorder="1">
      <alignment/>
      <protection/>
    </xf>
    <xf numFmtId="49" fontId="16" fillId="0" borderId="41" xfId="37" applyNumberFormat="1" applyFont="1" applyBorder="1" applyAlignment="1">
      <alignment horizontal="center" shrinkToFit="1"/>
      <protection/>
    </xf>
    <xf numFmtId="49" fontId="16" fillId="34" borderId="40" xfId="36" applyNumberFormat="1" applyFont="1" applyFill="1" applyBorder="1" applyAlignment="1">
      <alignment horizontal="left" vertical="top"/>
      <protection/>
    </xf>
    <xf numFmtId="4" fontId="18" fillId="34" borderId="40" xfId="36" applyNumberFormat="1" applyFont="1" applyFill="1" applyBorder="1">
      <alignment/>
      <protection/>
    </xf>
    <xf numFmtId="0" fontId="16" fillId="0" borderId="41" xfId="36" applyFont="1" applyBorder="1" applyAlignment="1">
      <alignment/>
      <protection/>
    </xf>
    <xf numFmtId="49" fontId="21" fillId="35" borderId="40" xfId="36" applyNumberFormat="1" applyFont="1" applyFill="1" applyBorder="1" applyAlignment="1">
      <alignment horizontal="left"/>
      <protection/>
    </xf>
    <xf numFmtId="0" fontId="18" fillId="35" borderId="16" xfId="0" applyFont="1" applyFill="1" applyBorder="1" applyAlignment="1">
      <alignment vertical="center"/>
    </xf>
    <xf numFmtId="0" fontId="16" fillId="35" borderId="0" xfId="36" applyFont="1" applyFill="1" applyBorder="1" applyAlignment="1">
      <alignment/>
      <protection/>
    </xf>
    <xf numFmtId="4" fontId="16" fillId="35" borderId="0" xfId="36" applyNumberFormat="1" applyFont="1" applyFill="1" applyBorder="1" applyAlignment="1">
      <alignment horizontal="right"/>
      <protection/>
    </xf>
    <xf numFmtId="4" fontId="16" fillId="35" borderId="17" xfId="36" applyNumberFormat="1" applyFont="1" applyFill="1" applyBorder="1" applyAlignment="1">
      <alignment horizontal="right"/>
      <protection/>
    </xf>
    <xf numFmtId="4" fontId="18" fillId="35" borderId="40" xfId="36" applyNumberFormat="1" applyFont="1" applyFill="1" applyBorder="1">
      <alignment/>
      <protection/>
    </xf>
    <xf numFmtId="0" fontId="16" fillId="0" borderId="16" xfId="0" applyFont="1" applyFill="1" applyBorder="1" applyAlignment="1">
      <alignment horizontal="left"/>
    </xf>
    <xf numFmtId="49" fontId="16" fillId="0" borderId="39" xfId="36" applyNumberFormat="1" applyFont="1" applyBorder="1" applyAlignment="1">
      <alignment horizontal="left" vertical="top"/>
      <protection/>
    </xf>
    <xf numFmtId="0" fontId="16" fillId="0" borderId="39" xfId="36" applyFont="1" applyBorder="1" applyAlignment="1">
      <alignment vertical="top" wrapText="1"/>
      <protection/>
    </xf>
    <xf numFmtId="49" fontId="16" fillId="0" borderId="41" xfId="36" applyNumberFormat="1" applyFont="1" applyFill="1" applyBorder="1" applyAlignment="1">
      <alignment horizontal="left"/>
      <protection/>
    </xf>
    <xf numFmtId="0" fontId="16" fillId="0" borderId="41" xfId="36" applyFont="1" applyFill="1" applyBorder="1">
      <alignment/>
      <protection/>
    </xf>
    <xf numFmtId="0" fontId="16" fillId="0" borderId="41" xfId="36" applyFont="1" applyFill="1" applyBorder="1" applyAlignment="1">
      <alignment/>
      <protection/>
    </xf>
    <xf numFmtId="4" fontId="16" fillId="0" borderId="41" xfId="36" applyNumberFormat="1" applyFont="1" applyFill="1" applyBorder="1" applyAlignment="1">
      <alignment horizontal="right"/>
      <protection/>
    </xf>
    <xf numFmtId="4" fontId="16" fillId="0" borderId="41" xfId="37" applyNumberFormat="1" applyFont="1" applyFill="1" applyBorder="1">
      <alignment/>
      <protection/>
    </xf>
    <xf numFmtId="0" fontId="18" fillId="0" borderId="37" xfId="0" applyFont="1" applyBorder="1" applyAlignment="1">
      <alignment horizontal="left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vertical="center"/>
      <protection locked="0"/>
    </xf>
    <xf numFmtId="4" fontId="18" fillId="0" borderId="25" xfId="0" applyNumberFormat="1" applyFont="1" applyBorder="1" applyAlignment="1" applyProtection="1">
      <alignment vertical="center"/>
      <protection locked="0"/>
    </xf>
    <xf numFmtId="4" fontId="18" fillId="0" borderId="26" xfId="0" applyNumberFormat="1" applyFont="1" applyBorder="1" applyAlignment="1" applyProtection="1">
      <alignment vertical="center"/>
      <protection locked="0"/>
    </xf>
    <xf numFmtId="4" fontId="16" fillId="0" borderId="39" xfId="36" applyNumberFormat="1" applyFont="1" applyBorder="1">
      <alignment/>
      <protection/>
    </xf>
    <xf numFmtId="49" fontId="16" fillId="0" borderId="41" xfId="36" applyNumberFormat="1" applyFont="1" applyBorder="1" applyAlignment="1">
      <alignment shrinkToFit="1"/>
      <protection/>
    </xf>
    <xf numFmtId="0" fontId="31" fillId="0" borderId="61" xfId="48" applyFont="1" applyBorder="1" applyAlignment="1">
      <alignment/>
      <protection/>
    </xf>
    <xf numFmtId="0" fontId="32" fillId="0" borderId="0" xfId="48" applyFont="1">
      <alignment/>
      <protection/>
    </xf>
    <xf numFmtId="0" fontId="32" fillId="0" borderId="62" xfId="48" applyFont="1" applyBorder="1">
      <alignment/>
      <protection/>
    </xf>
    <xf numFmtId="0" fontId="1" fillId="0" borderId="62" xfId="48" applyFont="1" applyBorder="1" applyAlignment="1">
      <alignment horizontal="justify" vertical="center"/>
      <protection/>
    </xf>
    <xf numFmtId="0" fontId="32" fillId="0" borderId="0" xfId="48" applyFont="1" applyAlignment="1">
      <alignment vertical="center"/>
      <protection/>
    </xf>
    <xf numFmtId="49" fontId="32" fillId="0" borderId="0" xfId="48" applyNumberFormat="1" applyFont="1">
      <alignment/>
      <protection/>
    </xf>
    <xf numFmtId="0" fontId="32" fillId="0" borderId="63" xfId="48" applyFont="1" applyBorder="1">
      <alignment/>
      <protection/>
    </xf>
    <xf numFmtId="164" fontId="13" fillId="34" borderId="31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5" fillId="33" borderId="19" xfId="0" applyNumberFormat="1" applyFont="1" applyFill="1" applyBorder="1" applyAlignment="1">
      <alignment horizontal="right"/>
    </xf>
    <xf numFmtId="164" fontId="13" fillId="34" borderId="28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175" fontId="29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75" fontId="24" fillId="0" borderId="0" xfId="0" applyNumberFormat="1" applyFont="1" applyBorder="1" applyAlignment="1">
      <alignment horizontal="left"/>
    </xf>
    <xf numFmtId="174" fontId="24" fillId="0" borderId="0" xfId="0" applyNumberFormat="1" applyFont="1" applyBorder="1" applyAlignment="1">
      <alignment horizontal="left"/>
    </xf>
    <xf numFmtId="176" fontId="29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170" fontId="24" fillId="36" borderId="64" xfId="0" applyNumberFormat="1" applyFont="1" applyFill="1" applyBorder="1" applyAlignment="1">
      <alignment horizontal="center" vertical="center" wrapText="1"/>
    </xf>
    <xf numFmtId="2" fontId="24" fillId="36" borderId="65" xfId="0" applyNumberFormat="1" applyFont="1" applyFill="1" applyBorder="1" applyAlignment="1">
      <alignment horizontal="center" vertical="center" wrapText="1"/>
    </xf>
    <xf numFmtId="0" fontId="24" fillId="36" borderId="51" xfId="0" applyFont="1" applyFill="1" applyBorder="1" applyAlignment="1">
      <alignment horizontal="center" vertical="center" wrapText="1"/>
    </xf>
    <xf numFmtId="170" fontId="24" fillId="36" borderId="5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normální_POL.XLS" xfId="36"/>
    <cellStyle name="Excel Built-in normální_POL.XL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="105" zoomScaleNormal="105" zoomScalePageLayoutView="0" workbookViewId="0" topLeftCell="A4">
      <selection activeCell="K9" sqref="K9"/>
    </sheetView>
  </sheetViews>
  <sheetFormatPr defaultColWidth="9.00390625" defaultRowHeight="12.75"/>
  <cols>
    <col min="1" max="1" width="1.875" style="0" customWidth="1"/>
    <col min="2" max="2" width="3.375" style="0" customWidth="1"/>
    <col min="3" max="3" width="7.75390625" style="0" customWidth="1"/>
    <col min="4" max="4" width="11.625" style="0" customWidth="1"/>
    <col min="5" max="5" width="36.375" style="0" customWidth="1"/>
    <col min="6" max="6" width="6.375" style="0" customWidth="1"/>
    <col min="7" max="7" width="13.875" style="0" customWidth="1"/>
    <col min="8" max="8" width="3.125" style="0" customWidth="1"/>
    <col min="9" max="9" width="3.875" style="0" customWidth="1"/>
    <col min="10" max="10" width="2.125" style="0" customWidth="1"/>
    <col min="11" max="11" width="27.75390625" style="0" customWidth="1"/>
    <col min="12" max="12" width="2.375" style="0" customWidth="1"/>
    <col min="13" max="13" width="1.875" style="0" customWidth="1"/>
    <col min="14" max="14" width="8.00390625" style="0" customWidth="1"/>
  </cols>
  <sheetData>
    <row r="1" spans="1:13" ht="39" customHeight="1">
      <c r="A1" s="1"/>
      <c r="B1" s="2"/>
      <c r="C1" s="2" t="s">
        <v>0</v>
      </c>
      <c r="D1" s="694" t="s">
        <v>1337</v>
      </c>
      <c r="E1" s="694"/>
      <c r="F1" s="694"/>
      <c r="G1" s="694"/>
      <c r="H1" s="694"/>
      <c r="I1" s="694"/>
      <c r="J1" s="694"/>
      <c r="K1" s="694"/>
      <c r="L1" s="694"/>
      <c r="M1" s="3"/>
    </row>
    <row r="2" spans="1:13" ht="40.5" customHeight="1">
      <c r="A2" s="4"/>
      <c r="B2" s="5"/>
      <c r="C2" s="6"/>
      <c r="D2" s="694"/>
      <c r="E2" s="694"/>
      <c r="F2" s="694"/>
      <c r="G2" s="694"/>
      <c r="H2" s="694"/>
      <c r="I2" s="694"/>
      <c r="J2" s="694"/>
      <c r="K2" s="694"/>
      <c r="L2" s="694"/>
      <c r="M2" s="7"/>
    </row>
    <row r="3" spans="1:13" ht="19.5" customHeight="1">
      <c r="A3" s="8"/>
      <c r="B3" s="9"/>
      <c r="C3" s="9"/>
      <c r="D3" s="9"/>
      <c r="E3" s="10"/>
      <c r="F3" s="11"/>
      <c r="G3" s="9"/>
      <c r="H3" s="9"/>
      <c r="I3" s="12"/>
      <c r="J3" s="9"/>
      <c r="K3" s="9"/>
      <c r="L3" s="9"/>
      <c r="M3" s="13"/>
    </row>
    <row r="4" spans="1:13" ht="23.25" customHeight="1">
      <c r="A4" s="8"/>
      <c r="B4" s="9"/>
      <c r="C4" s="695" t="s">
        <v>1</v>
      </c>
      <c r="D4" s="695"/>
      <c r="E4" s="695"/>
      <c r="F4" s="695"/>
      <c r="G4" s="695"/>
      <c r="H4" s="695"/>
      <c r="I4" s="695"/>
      <c r="J4" s="695"/>
      <c r="K4" s="695"/>
      <c r="L4" s="9"/>
      <c r="M4" s="13"/>
    </row>
    <row r="5" spans="1:13" ht="33.75" customHeight="1">
      <c r="A5" s="8"/>
      <c r="B5" s="9"/>
      <c r="C5" s="14">
        <v>1</v>
      </c>
      <c r="D5" s="14" t="s">
        <v>2</v>
      </c>
      <c r="E5" s="14"/>
      <c r="F5" s="14"/>
      <c r="G5" s="14"/>
      <c r="H5" s="14"/>
      <c r="I5" s="15"/>
      <c r="J5" s="15"/>
      <c r="K5" s="15">
        <f>'Rekapitulace PPP a SPC'!C44</f>
        <v>0</v>
      </c>
      <c r="L5" s="9"/>
      <c r="M5" s="13"/>
    </row>
    <row r="6" spans="1:13" ht="33.75" customHeight="1">
      <c r="A6" s="8"/>
      <c r="B6" s="9"/>
      <c r="C6" s="14">
        <v>2</v>
      </c>
      <c r="D6" s="14" t="s">
        <v>1338</v>
      </c>
      <c r="E6" s="14"/>
      <c r="F6" s="14"/>
      <c r="G6" s="14"/>
      <c r="H6" s="14"/>
      <c r="I6" s="15"/>
      <c r="J6" s="15"/>
      <c r="K6" s="15">
        <f>'Rekapitulace psycho+archiv'!C36</f>
        <v>0</v>
      </c>
      <c r="L6" s="9"/>
      <c r="M6" s="13"/>
    </row>
    <row r="7" spans="1:13" ht="33.75" customHeight="1">
      <c r="A7" s="8"/>
      <c r="B7" s="9"/>
      <c r="C7" s="14">
        <v>3</v>
      </c>
      <c r="D7" s="14" t="s">
        <v>1438</v>
      </c>
      <c r="E7" s="14"/>
      <c r="F7" s="14"/>
      <c r="G7" s="14"/>
      <c r="H7" s="14"/>
      <c r="I7" s="15"/>
      <c r="J7" s="15"/>
      <c r="K7" s="15">
        <f>SUM('Rekapitulace PZTS a EVS'!E27:F27)</f>
        <v>0</v>
      </c>
      <c r="L7" s="9"/>
      <c r="M7" s="13"/>
    </row>
    <row r="8" spans="1:13" ht="27.75" customHeight="1">
      <c r="A8" s="8"/>
      <c r="B8" s="16"/>
      <c r="C8" s="17" t="s">
        <v>3</v>
      </c>
      <c r="D8" s="18"/>
      <c r="E8" s="19"/>
      <c r="F8" s="19"/>
      <c r="G8" s="19"/>
      <c r="H8" s="18"/>
      <c r="I8" s="696"/>
      <c r="J8" s="696"/>
      <c r="K8" s="20">
        <f>SUM(K5:K7)</f>
        <v>0</v>
      </c>
      <c r="L8" s="21"/>
      <c r="M8" s="13"/>
    </row>
    <row r="9" spans="1:13" ht="9.75" customHeight="1">
      <c r="A9" s="22"/>
      <c r="B9" s="23"/>
      <c r="C9" s="24"/>
      <c r="D9" s="25"/>
      <c r="E9" s="25"/>
      <c r="F9" s="25"/>
      <c r="G9" s="25"/>
      <c r="H9" s="25"/>
      <c r="I9" s="25"/>
      <c r="J9" s="23"/>
      <c r="K9" s="26"/>
      <c r="L9" s="27"/>
      <c r="M9" s="28"/>
    </row>
    <row r="10" spans="1:15" s="33" customFormat="1" ht="17.25">
      <c r="A10" s="9"/>
      <c r="B10" s="29"/>
      <c r="C10" s="30"/>
      <c r="D10" s="31"/>
      <c r="E10" s="31"/>
      <c r="F10" s="31"/>
      <c r="G10" s="31"/>
      <c r="H10" s="31"/>
      <c r="I10" s="31"/>
      <c r="J10" s="29"/>
      <c r="K10" s="32"/>
      <c r="L10" s="9"/>
      <c r="M10" s="9"/>
      <c r="O10" s="34"/>
    </row>
    <row r="11" spans="1:13" ht="20.25" customHeight="1">
      <c r="A11" s="35"/>
      <c r="B11" s="36"/>
      <c r="C11" s="37"/>
      <c r="D11" s="38"/>
      <c r="E11" s="38"/>
      <c r="F11" s="38"/>
      <c r="G11" s="38"/>
      <c r="H11" s="38"/>
      <c r="I11" s="38"/>
      <c r="J11" s="36"/>
      <c r="K11" s="39"/>
      <c r="L11" s="36"/>
      <c r="M11" s="40"/>
    </row>
    <row r="12" spans="1:13" ht="20.25">
      <c r="A12" s="8"/>
      <c r="B12" s="41"/>
      <c r="C12" s="42" t="s">
        <v>4</v>
      </c>
      <c r="D12" s="43"/>
      <c r="E12" s="43"/>
      <c r="F12" s="43"/>
      <c r="G12" s="43"/>
      <c r="H12" s="43"/>
      <c r="I12" s="43"/>
      <c r="J12" s="697">
        <f>K8</f>
        <v>0</v>
      </c>
      <c r="K12" s="697"/>
      <c r="L12" s="44"/>
      <c r="M12" s="13"/>
    </row>
    <row r="13" spans="1:13" ht="8.25" customHeight="1">
      <c r="A13" s="8"/>
      <c r="B13" s="9"/>
      <c r="C13" s="9" t="s">
        <v>5</v>
      </c>
      <c r="D13" s="9"/>
      <c r="E13" s="9"/>
      <c r="F13" s="9"/>
      <c r="G13" s="9"/>
      <c r="H13" s="9"/>
      <c r="I13" s="9"/>
      <c r="J13" s="9"/>
      <c r="K13" s="9"/>
      <c r="L13" s="9"/>
      <c r="M13" s="13"/>
    </row>
    <row r="14" spans="1:13" ht="18" customHeight="1">
      <c r="A14" s="8"/>
      <c r="B14" s="9"/>
      <c r="C14" s="11" t="s">
        <v>6</v>
      </c>
      <c r="D14" s="45">
        <v>0.21</v>
      </c>
      <c r="E14" s="46"/>
      <c r="F14" s="47" t="s">
        <v>7</v>
      </c>
      <c r="G14" s="698">
        <f>+J12-G15</f>
        <v>0</v>
      </c>
      <c r="H14" s="698"/>
      <c r="I14" s="9"/>
      <c r="J14" s="9"/>
      <c r="K14" s="48">
        <f>G14*0.21</f>
        <v>0</v>
      </c>
      <c r="L14" s="9"/>
      <c r="M14" s="13"/>
    </row>
    <row r="15" spans="1:13" ht="18" customHeight="1">
      <c r="A15" s="8"/>
      <c r="B15" s="9"/>
      <c r="C15" s="11" t="s">
        <v>6</v>
      </c>
      <c r="D15" s="45">
        <v>0.15</v>
      </c>
      <c r="E15" s="9"/>
      <c r="F15" s="47" t="s">
        <v>7</v>
      </c>
      <c r="G15" s="698">
        <v>0</v>
      </c>
      <c r="H15" s="698"/>
      <c r="I15" s="9"/>
      <c r="J15" s="9"/>
      <c r="K15" s="48"/>
      <c r="L15" s="9"/>
      <c r="M15" s="13"/>
    </row>
    <row r="16" spans="1:13" ht="9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3"/>
    </row>
    <row r="17" spans="1:13" ht="23.25" customHeight="1">
      <c r="A17" s="8"/>
      <c r="B17" s="49"/>
      <c r="C17" s="50" t="s">
        <v>8</v>
      </c>
      <c r="D17" s="51"/>
      <c r="E17" s="51"/>
      <c r="F17" s="51"/>
      <c r="G17" s="51"/>
      <c r="H17" s="51"/>
      <c r="I17" s="51"/>
      <c r="J17" s="693">
        <f>SUM(J12:K15)</f>
        <v>0</v>
      </c>
      <c r="K17" s="693"/>
      <c r="L17" s="52"/>
      <c r="M17" s="13"/>
    </row>
    <row r="18" spans="1:13" ht="13.5">
      <c r="A18" s="22"/>
      <c r="B18" s="27"/>
      <c r="C18" s="27"/>
      <c r="D18" s="27" t="s">
        <v>5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1:13" ht="13.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2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</row>
    <row r="21" spans="1:13" ht="12.75">
      <c r="A21" s="57"/>
      <c r="B21" s="33"/>
      <c r="C21" s="33"/>
      <c r="D21" s="33" t="s">
        <v>9</v>
      </c>
      <c r="F21" s="33"/>
      <c r="G21" s="33"/>
      <c r="H21" s="33"/>
      <c r="I21" s="33"/>
      <c r="J21" s="33"/>
      <c r="K21" s="58" t="s">
        <v>10</v>
      </c>
      <c r="L21" s="33"/>
      <c r="M21" s="59"/>
    </row>
    <row r="22" spans="1:13" ht="12.75">
      <c r="A22" s="57"/>
      <c r="B22" s="33"/>
      <c r="C22" s="60"/>
      <c r="D22" s="61"/>
      <c r="E22" s="33"/>
      <c r="F22" s="33"/>
      <c r="G22" s="33"/>
      <c r="H22" s="33"/>
      <c r="I22" s="33"/>
      <c r="J22" s="33"/>
      <c r="K22" s="33" t="s">
        <v>11</v>
      </c>
      <c r="L22" s="33"/>
      <c r="M22" s="59"/>
    </row>
    <row r="23" spans="1:13" ht="14.25">
      <c r="A23" s="57"/>
      <c r="B23" s="33"/>
      <c r="C23" s="60"/>
      <c r="D23" s="62"/>
      <c r="E23" s="33"/>
      <c r="F23" s="33"/>
      <c r="G23" s="33"/>
      <c r="H23" s="33"/>
      <c r="I23" s="33"/>
      <c r="J23" s="33"/>
      <c r="K23" s="33"/>
      <c r="L23" s="33"/>
      <c r="M23" s="59"/>
    </row>
    <row r="24" spans="1:13" ht="12.75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</row>
  </sheetData>
  <sheetProtection selectLockedCells="1" selectUnlockedCells="1"/>
  <mergeCells count="7">
    <mergeCell ref="J17:K17"/>
    <mergeCell ref="D1:L2"/>
    <mergeCell ref="C4:K4"/>
    <mergeCell ref="I8:J8"/>
    <mergeCell ref="J12:K12"/>
    <mergeCell ref="G14:H14"/>
    <mergeCell ref="G15:H15"/>
  </mergeCells>
  <printOptions/>
  <pageMargins left="0.7874015748031497" right="0.7874015748031497" top="1.141732283464567" bottom="0.6692913385826772" header="0.7086614173228347" footer="0.3937007874015748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F10" sqref="F10"/>
    </sheetView>
  </sheetViews>
  <sheetFormatPr defaultColWidth="9.00390625" defaultRowHeight="12.75"/>
  <cols>
    <col min="1" max="1" width="104.25390625" style="687" customWidth="1"/>
    <col min="2" max="16384" width="9.125" style="687" customWidth="1"/>
  </cols>
  <sheetData>
    <row r="1" ht="13.5" thickTop="1">
      <c r="A1" s="686" t="s">
        <v>1439</v>
      </c>
    </row>
    <row r="2" ht="10.5" customHeight="1">
      <c r="A2" s="688"/>
    </row>
    <row r="3" ht="35.25" customHeight="1">
      <c r="A3" s="689" t="s">
        <v>1440</v>
      </c>
    </row>
    <row r="4" ht="35.25" customHeight="1">
      <c r="A4" s="689" t="s">
        <v>1441</v>
      </c>
    </row>
    <row r="5" ht="30.75" customHeight="1">
      <c r="A5" s="689" t="s">
        <v>1442</v>
      </c>
    </row>
    <row r="6" spans="1:5" ht="21.75" customHeight="1">
      <c r="A6" s="688" t="s">
        <v>1443</v>
      </c>
      <c r="C6" s="690"/>
      <c r="D6" s="690"/>
      <c r="E6" s="690"/>
    </row>
    <row r="7" ht="42" customHeight="1">
      <c r="A7" s="689" t="s">
        <v>1444</v>
      </c>
    </row>
    <row r="8" ht="68.25" customHeight="1">
      <c r="A8" s="689" t="s">
        <v>1445</v>
      </c>
    </row>
    <row r="9" spans="1:2" ht="38.25" customHeight="1">
      <c r="A9" s="689" t="s">
        <v>1446</v>
      </c>
      <c r="B9" s="691"/>
    </row>
    <row r="10" spans="1:2" ht="57.75" customHeight="1">
      <c r="A10" s="689" t="s">
        <v>1447</v>
      </c>
      <c r="B10" s="691"/>
    </row>
    <row r="11" spans="1:2" ht="52.5" customHeight="1">
      <c r="A11" s="689" t="s">
        <v>1449</v>
      </c>
      <c r="B11" s="691"/>
    </row>
    <row r="12" spans="1:2" ht="24.75" customHeight="1">
      <c r="A12" s="689" t="s">
        <v>1448</v>
      </c>
      <c r="B12" s="691"/>
    </row>
    <row r="13" spans="1:2" ht="12.75">
      <c r="A13" s="688"/>
      <c r="B13" s="691"/>
    </row>
    <row r="14" ht="12.75">
      <c r="A14" s="688"/>
    </row>
    <row r="15" ht="13.5" thickBot="1">
      <c r="A15" s="69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C53"/>
  <sheetViews>
    <sheetView zoomScale="105" zoomScaleNormal="105" zoomScalePageLayoutView="0" workbookViewId="0" topLeftCell="A1">
      <selection activeCell="B58" sqref="B58"/>
    </sheetView>
  </sheetViews>
  <sheetFormatPr defaultColWidth="9.25390625" defaultRowHeight="12.75"/>
  <cols>
    <col min="1" max="1" width="9.25390625" style="66" customWidth="1"/>
    <col min="2" max="2" width="80.875" style="67" customWidth="1"/>
    <col min="3" max="3" width="26.625" style="67" customWidth="1"/>
    <col min="4" max="16384" width="9.25390625" style="67" customWidth="1"/>
  </cols>
  <sheetData>
    <row r="2" spans="1:3" ht="12.75">
      <c r="A2" s="68"/>
      <c r="B2" s="69" t="s">
        <v>12</v>
      </c>
      <c r="C2" s="70" t="s">
        <v>13</v>
      </c>
    </row>
    <row r="3" spans="1:3" ht="12.75">
      <c r="A3" s="71">
        <v>3</v>
      </c>
      <c r="B3" s="72" t="s">
        <v>14</v>
      </c>
      <c r="C3" s="73">
        <f>'Položky PPP a SPC'!G54</f>
        <v>0</v>
      </c>
    </row>
    <row r="4" spans="1:3" ht="12.75">
      <c r="A4" s="71">
        <v>4</v>
      </c>
      <c r="B4" s="72" t="s">
        <v>15</v>
      </c>
      <c r="C4" s="73">
        <f>'Položky PPP a SPC'!G57</f>
        <v>0</v>
      </c>
    </row>
    <row r="5" spans="1:3" ht="12.75">
      <c r="A5" s="71">
        <v>61</v>
      </c>
      <c r="B5" s="72" t="s">
        <v>16</v>
      </c>
      <c r="C5" s="73">
        <f>'Položky PPP a SPC'!G350</f>
        <v>0</v>
      </c>
    </row>
    <row r="6" spans="1:3" ht="12.75">
      <c r="A6" s="71">
        <v>62</v>
      </c>
      <c r="B6" s="72" t="s">
        <v>17</v>
      </c>
      <c r="C6" s="73">
        <f>'Položky PPP a SPC'!G359</f>
        <v>0</v>
      </c>
    </row>
    <row r="7" spans="1:3" ht="12.75">
      <c r="A7" s="71">
        <v>63</v>
      </c>
      <c r="B7" s="72" t="s">
        <v>18</v>
      </c>
      <c r="C7" s="73">
        <f>'Položky PPP a SPC'!G385</f>
        <v>0</v>
      </c>
    </row>
    <row r="8" spans="1:3" ht="12.75">
      <c r="A8" s="71">
        <v>94</v>
      </c>
      <c r="B8" s="72" t="s">
        <v>19</v>
      </c>
      <c r="C8" s="73">
        <f>'Položky PPP a SPC'!G402</f>
        <v>0</v>
      </c>
    </row>
    <row r="9" spans="1:3" ht="15.75" customHeight="1">
      <c r="A9" s="71">
        <v>95</v>
      </c>
      <c r="B9" s="72" t="s">
        <v>20</v>
      </c>
      <c r="C9" s="73">
        <f>'Položky PPP a SPC'!G717</f>
        <v>0</v>
      </c>
    </row>
    <row r="10" spans="1:3" ht="15.75" customHeight="1">
      <c r="A10" s="71">
        <v>711</v>
      </c>
      <c r="B10" s="72" t="s">
        <v>21</v>
      </c>
      <c r="C10" s="73">
        <f>'Položky PPP a SPC'!G732</f>
        <v>0</v>
      </c>
    </row>
    <row r="11" spans="1:3" ht="15.75" customHeight="1">
      <c r="A11" s="71">
        <v>713</v>
      </c>
      <c r="B11" s="72" t="s">
        <v>22</v>
      </c>
      <c r="C11" s="73">
        <f>'Položky PPP a SPC'!G737</f>
        <v>0</v>
      </c>
    </row>
    <row r="12" spans="1:3" ht="15.75" customHeight="1">
      <c r="A12" s="71">
        <v>721</v>
      </c>
      <c r="B12" s="72" t="s">
        <v>23</v>
      </c>
      <c r="C12" s="73">
        <f>'Položky PPP a SPC'!G748</f>
        <v>0</v>
      </c>
    </row>
    <row r="13" spans="1:3" ht="15.75" customHeight="1">
      <c r="A13" s="71">
        <v>722</v>
      </c>
      <c r="B13" s="72" t="s">
        <v>24</v>
      </c>
      <c r="C13" s="73">
        <f>'Položky PPP a SPC'!G757</f>
        <v>0</v>
      </c>
    </row>
    <row r="14" spans="1:3" ht="15.75" customHeight="1">
      <c r="A14" s="71">
        <v>725</v>
      </c>
      <c r="B14" s="72" t="s">
        <v>25</v>
      </c>
      <c r="C14" s="73">
        <f>'Položky PPP a SPC'!G775</f>
        <v>0</v>
      </c>
    </row>
    <row r="15" spans="1:3" ht="15.75" customHeight="1">
      <c r="A15" s="71">
        <v>733</v>
      </c>
      <c r="B15" s="72" t="s">
        <v>26</v>
      </c>
      <c r="C15" s="73">
        <f>'Položky PPP a SPC'!G782</f>
        <v>0</v>
      </c>
    </row>
    <row r="16" spans="1:3" ht="15.75" customHeight="1">
      <c r="A16" s="71">
        <v>734</v>
      </c>
      <c r="B16" s="72" t="s">
        <v>27</v>
      </c>
      <c r="C16" s="73">
        <f>'Položky PPP a SPC'!G790</f>
        <v>0</v>
      </c>
    </row>
    <row r="17" spans="1:3" ht="15.75" customHeight="1">
      <c r="A17" s="71">
        <v>735</v>
      </c>
      <c r="B17" s="72" t="s">
        <v>28</v>
      </c>
      <c r="C17" s="73">
        <f>'Položky PPP a SPC'!G796</f>
        <v>0</v>
      </c>
    </row>
    <row r="18" spans="1:3" ht="15.75" customHeight="1">
      <c r="A18" s="71">
        <v>766</v>
      </c>
      <c r="B18" s="72" t="s">
        <v>29</v>
      </c>
      <c r="C18" s="73">
        <f>'Položky PPP a SPC'!G843</f>
        <v>0</v>
      </c>
    </row>
    <row r="19" spans="1:3" ht="15.75" customHeight="1">
      <c r="A19" s="71">
        <v>767</v>
      </c>
      <c r="B19" s="72" t="s">
        <v>30</v>
      </c>
      <c r="C19" s="73">
        <f>'Položky PPP a SPC'!G871</f>
        <v>0</v>
      </c>
    </row>
    <row r="20" spans="1:3" ht="15.75" customHeight="1">
      <c r="A20" s="71">
        <v>771</v>
      </c>
      <c r="B20" s="72" t="s">
        <v>31</v>
      </c>
      <c r="C20" s="73">
        <f>'Položky PPP a SPC'!G920</f>
        <v>0</v>
      </c>
    </row>
    <row r="21" spans="1:3" ht="15.75" customHeight="1">
      <c r="A21" s="71">
        <v>776</v>
      </c>
      <c r="B21" s="72" t="s">
        <v>32</v>
      </c>
      <c r="C21" s="73">
        <f>'Položky PPP a SPC'!G1004</f>
        <v>0</v>
      </c>
    </row>
    <row r="22" spans="1:3" ht="15.75" customHeight="1">
      <c r="A22" s="71">
        <v>781</v>
      </c>
      <c r="B22" s="72" t="s">
        <v>33</v>
      </c>
      <c r="C22" s="73">
        <f>'Položky PPP a SPC'!G1079</f>
        <v>0</v>
      </c>
    </row>
    <row r="23" spans="1:3" ht="15.75" customHeight="1">
      <c r="A23" s="71">
        <v>783</v>
      </c>
      <c r="B23" s="72" t="s">
        <v>34</v>
      </c>
      <c r="C23" s="73">
        <f>'Položky PPP a SPC'!G1183</f>
        <v>0</v>
      </c>
    </row>
    <row r="24" spans="1:3" ht="15.75" customHeight="1">
      <c r="A24" s="72" t="s">
        <v>35</v>
      </c>
      <c r="B24" s="72" t="s">
        <v>36</v>
      </c>
      <c r="C24" s="73">
        <f>'Položky PPP a SPC'!G1191</f>
        <v>0</v>
      </c>
    </row>
    <row r="25" spans="1:3" ht="15.75" customHeight="1">
      <c r="A25" s="72" t="s">
        <v>37</v>
      </c>
      <c r="B25" s="72" t="s">
        <v>38</v>
      </c>
      <c r="C25" s="73">
        <f>'Položky PPP a SPC'!G1205</f>
        <v>0</v>
      </c>
    </row>
    <row r="26" spans="1:3" ht="15.75" customHeight="1">
      <c r="A26" s="72" t="s">
        <v>39</v>
      </c>
      <c r="B26" s="72" t="s">
        <v>40</v>
      </c>
      <c r="C26" s="73">
        <f>'Položky PPP a SPC'!G1214</f>
        <v>0</v>
      </c>
    </row>
    <row r="27" spans="1:3" ht="15.75" customHeight="1">
      <c r="A27" s="72" t="s">
        <v>41</v>
      </c>
      <c r="B27" s="72" t="s">
        <v>42</v>
      </c>
      <c r="C27" s="73">
        <f>'Položky PPP a SPC'!G1225</f>
        <v>0</v>
      </c>
    </row>
    <row r="28" spans="1:3" ht="15.75" customHeight="1">
      <c r="A28" s="72" t="s">
        <v>43</v>
      </c>
      <c r="B28" s="72" t="s">
        <v>44</v>
      </c>
      <c r="C28" s="73">
        <f>'Položky PPP a SPC'!G1237</f>
        <v>0</v>
      </c>
    </row>
    <row r="29" spans="1:3" ht="15.75" customHeight="1">
      <c r="A29" s="72" t="s">
        <v>45</v>
      </c>
      <c r="B29" s="72" t="s">
        <v>46</v>
      </c>
      <c r="C29" s="73">
        <f>'Položky PPP a SPC'!G1245</f>
        <v>0</v>
      </c>
    </row>
    <row r="30" spans="1:3" ht="15.75" customHeight="1">
      <c r="A30" s="72" t="s">
        <v>47</v>
      </c>
      <c r="B30" s="72" t="s">
        <v>48</v>
      </c>
      <c r="C30" s="73">
        <f>'Položky PPP a SPC'!G1254</f>
        <v>0</v>
      </c>
    </row>
    <row r="31" spans="1:3" ht="15.75" customHeight="1">
      <c r="A31" s="72" t="s">
        <v>49</v>
      </c>
      <c r="B31" s="72" t="s">
        <v>50</v>
      </c>
      <c r="C31" s="73">
        <f>'Položky PPP a SPC'!G1262</f>
        <v>0</v>
      </c>
    </row>
    <row r="32" spans="1:3" ht="15.75" customHeight="1">
      <c r="A32" s="72" t="s">
        <v>51</v>
      </c>
      <c r="B32" s="72" t="s">
        <v>52</v>
      </c>
      <c r="C32" s="73">
        <f>'Položky PPP a SPC'!G1276</f>
        <v>0</v>
      </c>
    </row>
    <row r="33" spans="1:3" ht="15.75" customHeight="1">
      <c r="A33" s="72" t="s">
        <v>53</v>
      </c>
      <c r="B33" s="72" t="s">
        <v>54</v>
      </c>
      <c r="C33" s="73">
        <f>'Položky PPP a SPC'!G1285</f>
        <v>0</v>
      </c>
    </row>
    <row r="34" spans="1:3" ht="15.75" customHeight="1">
      <c r="A34" s="72" t="s">
        <v>55</v>
      </c>
      <c r="B34" s="72" t="s">
        <v>56</v>
      </c>
      <c r="C34" s="73">
        <f>'Položky PPP a SPC'!G1295</f>
        <v>0</v>
      </c>
    </row>
    <row r="35" spans="1:3" ht="15.75" customHeight="1">
      <c r="A35" s="72" t="s">
        <v>57</v>
      </c>
      <c r="B35" s="72" t="s">
        <v>58</v>
      </c>
      <c r="C35" s="73">
        <f>'Položky PPP a SPC'!G1307</f>
        <v>0</v>
      </c>
    </row>
    <row r="36" spans="1:3" ht="15.75" customHeight="1">
      <c r="A36" s="72" t="s">
        <v>59</v>
      </c>
      <c r="B36" s="72" t="s">
        <v>60</v>
      </c>
      <c r="C36" s="73">
        <f>'Položky PPP a SPC'!G1315</f>
        <v>0</v>
      </c>
    </row>
    <row r="37" spans="1:3" ht="15.75" customHeight="1">
      <c r="A37" s="72" t="s">
        <v>61</v>
      </c>
      <c r="B37" s="72" t="s">
        <v>62</v>
      </c>
      <c r="C37" s="73">
        <f>'Položky PPP a SPC'!G1326</f>
        <v>0</v>
      </c>
    </row>
    <row r="38" spans="1:3" ht="15.75" customHeight="1">
      <c r="A38" s="74" t="s">
        <v>63</v>
      </c>
      <c r="B38" s="74" t="s">
        <v>64</v>
      </c>
      <c r="C38" s="75">
        <f>'Položky PPP a SPC'!G1342</f>
        <v>0</v>
      </c>
    </row>
    <row r="39" spans="1:3" ht="15.75" customHeight="1">
      <c r="A39" s="76"/>
      <c r="B39" s="77" t="s">
        <v>65</v>
      </c>
      <c r="C39" s="78">
        <f>SUM(C3:C38)</f>
        <v>0</v>
      </c>
    </row>
    <row r="40" spans="1:3" ht="7.5" customHeight="1">
      <c r="A40" s="76"/>
      <c r="B40" s="77"/>
      <c r="C40" s="78"/>
    </row>
    <row r="41" spans="1:3" ht="15.75" customHeight="1">
      <c r="A41" s="79" t="s">
        <v>66</v>
      </c>
      <c r="B41" s="80" t="str">
        <f>'Položky PPP a SPC'!C1343</f>
        <v>Vedlejší  a ostatní náklady</v>
      </c>
      <c r="C41" s="75">
        <f>'Položky PPP a SPC'!G1353</f>
        <v>0</v>
      </c>
    </row>
    <row r="42" spans="1:3" ht="15.75" customHeight="1">
      <c r="A42" s="81"/>
      <c r="B42" s="77" t="s">
        <v>67</v>
      </c>
      <c r="C42" s="82">
        <f>SUM(C41:C41)</f>
        <v>0</v>
      </c>
    </row>
    <row r="43" spans="1:3" ht="9" customHeight="1">
      <c r="A43" s="71"/>
      <c r="B43" s="83"/>
      <c r="C43" s="73"/>
    </row>
    <row r="44" spans="1:3" ht="15.75" customHeight="1">
      <c r="A44" s="71"/>
      <c r="B44" s="84" t="s">
        <v>68</v>
      </c>
      <c r="C44" s="85">
        <f>ROUND((C39+C42),0)</f>
        <v>0</v>
      </c>
    </row>
    <row r="45" spans="1:3" ht="3.75" customHeight="1">
      <c r="A45" s="71"/>
      <c r="B45" s="86"/>
      <c r="C45" s="78"/>
    </row>
    <row r="46" spans="1:3" ht="15.75" customHeight="1">
      <c r="A46" s="87"/>
      <c r="B46" s="86" t="s">
        <v>69</v>
      </c>
      <c r="C46" s="78">
        <f>ROUND(C44*0.21,0)</f>
        <v>0</v>
      </c>
    </row>
    <row r="47" spans="1:3" ht="5.25" customHeight="1">
      <c r="A47" s="87"/>
      <c r="B47" s="83"/>
      <c r="C47" s="83"/>
    </row>
    <row r="48" spans="1:3" ht="15.75" customHeight="1">
      <c r="A48" s="71"/>
      <c r="B48" s="84" t="s">
        <v>8</v>
      </c>
      <c r="C48" s="85">
        <f>ROUND((C44+C46),0)</f>
        <v>0</v>
      </c>
    </row>
    <row r="51" ht="12.75">
      <c r="B51" s="67" t="s">
        <v>70</v>
      </c>
    </row>
    <row r="53" ht="12.75">
      <c r="B53" s="67" t="s">
        <v>71</v>
      </c>
    </row>
  </sheetData>
  <sheetProtection selectLockedCells="1" selectUnlockedCells="1"/>
  <printOptions/>
  <pageMargins left="0.7480314960629921" right="0.7480314960629921" top="0.8661417322834646" bottom="0.35433070866141736" header="0.5905511811023623" footer="0.15748031496062992"/>
  <pageSetup fitToHeight="1" fitToWidth="1" horizontalDpi="300" verticalDpi="300" orientation="landscape" paperSize="9" scale="70" r:id="rId1"/>
  <headerFooter alignWithMargins="0">
    <oddHeader>&amp;L&amp;8Změna stavby před dokončením PPP a SPC Vysočina-Rekonstrukce budovy pro pracoviště Havlíčkův Brod U Panských č.p.1452 &amp;R&amp;8Rekapitulace soupisu prací PPP a SPC</oddHeader>
    <oddFooter>&amp;C&amp;8Stránka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B1362"/>
  <sheetViews>
    <sheetView tabSelected="1" zoomScale="105" zoomScaleNormal="105" zoomScalePageLayoutView="0" workbookViewId="0" topLeftCell="A1308">
      <selection activeCell="K1337" sqref="K1337"/>
    </sheetView>
  </sheetViews>
  <sheetFormatPr defaultColWidth="9.25390625" defaultRowHeight="12.75"/>
  <cols>
    <col min="1" max="1" width="5.625" style="88" customWidth="1"/>
    <col min="2" max="2" width="14.875" style="89" customWidth="1"/>
    <col min="3" max="3" width="60.125" style="90" customWidth="1"/>
    <col min="4" max="4" width="4.25390625" style="91" customWidth="1"/>
    <col min="5" max="5" width="10.75390625" style="90" customWidth="1"/>
    <col min="6" max="6" width="11.625" style="90" customWidth="1"/>
    <col min="7" max="7" width="13.125" style="90" customWidth="1"/>
    <col min="8" max="8" width="13.125" style="92" customWidth="1"/>
    <col min="9" max="9" width="7.75390625" style="92" customWidth="1"/>
    <col min="10" max="16384" width="9.25390625" style="90" customWidth="1"/>
  </cols>
  <sheetData>
    <row r="1" spans="1:9" s="100" customFormat="1" ht="12">
      <c r="A1" s="93" t="s">
        <v>72</v>
      </c>
      <c r="B1" s="94" t="s">
        <v>73</v>
      </c>
      <c r="C1" s="95" t="s">
        <v>74</v>
      </c>
      <c r="D1" s="95" t="s">
        <v>75</v>
      </c>
      <c r="E1" s="96" t="s">
        <v>76</v>
      </c>
      <c r="F1" s="96" t="s">
        <v>77</v>
      </c>
      <c r="G1" s="97" t="s">
        <v>78</v>
      </c>
      <c r="H1" s="98"/>
      <c r="I1" s="99"/>
    </row>
    <row r="2" spans="1:9" s="108" customFormat="1" ht="12">
      <c r="A2" s="101"/>
      <c r="B2" s="102">
        <v>3</v>
      </c>
      <c r="C2" s="103" t="s">
        <v>79</v>
      </c>
      <c r="D2" s="104"/>
      <c r="E2" s="105"/>
      <c r="F2" s="105"/>
      <c r="G2" s="106"/>
      <c r="H2" s="107"/>
      <c r="I2" s="107"/>
    </row>
    <row r="3" spans="1:9" s="108" customFormat="1" ht="12">
      <c r="A3" s="101" t="s">
        <v>80</v>
      </c>
      <c r="B3" s="109" t="s">
        <v>81</v>
      </c>
      <c r="C3" s="105" t="s">
        <v>82</v>
      </c>
      <c r="D3" s="104" t="s">
        <v>83</v>
      </c>
      <c r="E3" s="110">
        <v>72</v>
      </c>
      <c r="F3" s="110">
        <v>0</v>
      </c>
      <c r="G3" s="111">
        <f>PRODUCT(E3*F3)</f>
        <v>0</v>
      </c>
      <c r="H3" s="107"/>
      <c r="I3" s="107"/>
    </row>
    <row r="4" spans="1:9" s="108" customFormat="1" ht="12">
      <c r="A4" s="101"/>
      <c r="B4" s="112" t="s">
        <v>84</v>
      </c>
      <c r="C4" s="105" t="s">
        <v>85</v>
      </c>
      <c r="D4" s="104"/>
      <c r="E4" s="110"/>
      <c r="F4" s="110"/>
      <c r="G4" s="111"/>
      <c r="H4" s="107"/>
      <c r="I4" s="107"/>
    </row>
    <row r="5" spans="1:9" s="108" customFormat="1" ht="12">
      <c r="A5" s="101"/>
      <c r="B5" s="112" t="s">
        <v>86</v>
      </c>
      <c r="C5" s="105" t="s">
        <v>87</v>
      </c>
      <c r="D5" s="104"/>
      <c r="E5" s="110"/>
      <c r="F5" s="110"/>
      <c r="G5" s="111"/>
      <c r="H5" s="107"/>
      <c r="I5" s="107"/>
    </row>
    <row r="6" spans="1:9" s="108" customFormat="1" ht="12">
      <c r="A6" s="101"/>
      <c r="B6" s="112" t="s">
        <v>88</v>
      </c>
      <c r="C6" s="105" t="s">
        <v>89</v>
      </c>
      <c r="D6" s="104"/>
      <c r="E6" s="110"/>
      <c r="F6" s="110"/>
      <c r="G6" s="111"/>
      <c r="H6" s="107"/>
      <c r="I6" s="107"/>
    </row>
    <row r="7" spans="1:9" s="108" customFormat="1" ht="12">
      <c r="A7" s="101" t="s">
        <v>90</v>
      </c>
      <c r="B7" s="109" t="s">
        <v>91</v>
      </c>
      <c r="C7" s="105" t="s">
        <v>92</v>
      </c>
      <c r="D7" s="104" t="s">
        <v>93</v>
      </c>
      <c r="E7" s="110">
        <v>11.34</v>
      </c>
      <c r="F7" s="110">
        <v>0</v>
      </c>
      <c r="G7" s="111">
        <f>E7*F7</f>
        <v>0</v>
      </c>
      <c r="H7" s="107"/>
      <c r="I7" s="107"/>
    </row>
    <row r="8" spans="1:9" s="108" customFormat="1" ht="12">
      <c r="A8" s="101"/>
      <c r="B8" s="112"/>
      <c r="C8" s="105" t="s">
        <v>94</v>
      </c>
      <c r="D8" s="104"/>
      <c r="E8" s="110"/>
      <c r="F8" s="110"/>
      <c r="G8" s="111"/>
      <c r="H8" s="107"/>
      <c r="I8" s="107"/>
    </row>
    <row r="9" spans="1:9" s="108" customFormat="1" ht="12">
      <c r="A9" s="101"/>
      <c r="B9" s="112" t="s">
        <v>95</v>
      </c>
      <c r="C9" s="105" t="s">
        <v>96</v>
      </c>
      <c r="D9" s="104"/>
      <c r="E9" s="110"/>
      <c r="F9" s="110"/>
      <c r="G9" s="111"/>
      <c r="H9" s="107"/>
      <c r="I9" s="107"/>
    </row>
    <row r="10" spans="1:9" s="108" customFormat="1" ht="12">
      <c r="A10" s="101"/>
      <c r="B10" s="112" t="s">
        <v>97</v>
      </c>
      <c r="C10" s="105" t="s">
        <v>98</v>
      </c>
      <c r="D10" s="104"/>
      <c r="E10" s="110"/>
      <c r="F10" s="110"/>
      <c r="G10" s="111"/>
      <c r="H10" s="107"/>
      <c r="I10" s="107"/>
    </row>
    <row r="11" spans="1:9" s="108" customFormat="1" ht="12">
      <c r="A11" s="101"/>
      <c r="B11" s="112" t="s">
        <v>99</v>
      </c>
      <c r="C11" s="105" t="s">
        <v>100</v>
      </c>
      <c r="D11" s="104"/>
      <c r="E11" s="110"/>
      <c r="F11" s="110"/>
      <c r="G11" s="111"/>
      <c r="H11" s="107"/>
      <c r="I11" s="107"/>
    </row>
    <row r="12" spans="1:9" s="108" customFormat="1" ht="12">
      <c r="A12" s="101"/>
      <c r="B12" s="109"/>
      <c r="C12" s="105">
        <f>(0.15*2.1*2)*18</f>
        <v>11.34</v>
      </c>
      <c r="D12" s="104"/>
      <c r="E12" s="110"/>
      <c r="F12" s="110"/>
      <c r="G12" s="111"/>
      <c r="H12" s="107"/>
      <c r="I12" s="107"/>
    </row>
    <row r="13" spans="1:9" s="108" customFormat="1" ht="12">
      <c r="A13" s="101" t="s">
        <v>101</v>
      </c>
      <c r="B13" s="109" t="s">
        <v>102</v>
      </c>
      <c r="C13" s="105" t="s">
        <v>103</v>
      </c>
      <c r="D13" s="104" t="s">
        <v>104</v>
      </c>
      <c r="E13" s="110">
        <v>7</v>
      </c>
      <c r="F13" s="110">
        <v>0</v>
      </c>
      <c r="G13" s="111">
        <f>E13*F13</f>
        <v>0</v>
      </c>
      <c r="H13" s="107"/>
      <c r="I13" s="107"/>
    </row>
    <row r="14" spans="1:9" s="108" customFormat="1" ht="12">
      <c r="A14" s="101"/>
      <c r="B14" s="112" t="s">
        <v>105</v>
      </c>
      <c r="C14" s="105" t="s">
        <v>106</v>
      </c>
      <c r="D14" s="104"/>
      <c r="E14" s="110"/>
      <c r="F14" s="110"/>
      <c r="G14" s="111"/>
      <c r="H14" s="107"/>
      <c r="I14" s="107"/>
    </row>
    <row r="15" spans="1:9" s="108" customFormat="1" ht="12">
      <c r="A15" s="101"/>
      <c r="B15" s="109"/>
      <c r="C15" s="105" t="s">
        <v>107</v>
      </c>
      <c r="D15" s="104"/>
      <c r="E15" s="110"/>
      <c r="F15" s="110"/>
      <c r="G15" s="111"/>
      <c r="H15" s="107"/>
      <c r="I15" s="107"/>
    </row>
    <row r="16" spans="1:9" s="108" customFormat="1" ht="12">
      <c r="A16" s="101" t="s">
        <v>108</v>
      </c>
      <c r="B16" s="109" t="s">
        <v>109</v>
      </c>
      <c r="C16" s="105" t="s">
        <v>110</v>
      </c>
      <c r="D16" s="104" t="s">
        <v>104</v>
      </c>
      <c r="E16" s="110">
        <v>2</v>
      </c>
      <c r="F16" s="110">
        <v>0</v>
      </c>
      <c r="G16" s="111">
        <f>E16*F16</f>
        <v>0</v>
      </c>
      <c r="H16" s="107"/>
      <c r="I16" s="107"/>
    </row>
    <row r="17" spans="1:9" s="108" customFormat="1" ht="12">
      <c r="A17" s="101"/>
      <c r="B17" s="112" t="s">
        <v>111</v>
      </c>
      <c r="C17" s="105" t="s">
        <v>112</v>
      </c>
      <c r="D17" s="104"/>
      <c r="E17" s="110"/>
      <c r="F17" s="110"/>
      <c r="G17" s="111"/>
      <c r="H17" s="107"/>
      <c r="I17" s="107"/>
    </row>
    <row r="18" spans="1:9" s="108" customFormat="1" ht="12">
      <c r="A18" s="101" t="s">
        <v>113</v>
      </c>
      <c r="B18" s="109" t="s">
        <v>114</v>
      </c>
      <c r="C18" s="105" t="s">
        <v>115</v>
      </c>
      <c r="D18" s="104" t="s">
        <v>93</v>
      </c>
      <c r="E18" s="110">
        <v>18.35</v>
      </c>
      <c r="F18" s="110">
        <v>0</v>
      </c>
      <c r="G18" s="111">
        <f>E18*F18</f>
        <v>0</v>
      </c>
      <c r="H18" s="107"/>
      <c r="I18" s="107"/>
    </row>
    <row r="19" spans="1:9" s="108" customFormat="1" ht="12">
      <c r="A19" s="101"/>
      <c r="B19" s="112" t="s">
        <v>116</v>
      </c>
      <c r="C19" s="105">
        <f>(2.3*2.1)+(0.9*2)</f>
        <v>6.63</v>
      </c>
      <c r="D19" s="104"/>
      <c r="E19" s="110"/>
      <c r="F19" s="110"/>
      <c r="G19" s="111"/>
      <c r="H19" s="107"/>
      <c r="I19" s="107"/>
    </row>
    <row r="20" spans="1:9" s="108" customFormat="1" ht="12">
      <c r="A20" s="101"/>
      <c r="B20" s="112" t="s">
        <v>117</v>
      </c>
      <c r="C20" s="105">
        <f>(1.05*2.02)</f>
        <v>2.121</v>
      </c>
      <c r="D20" s="104"/>
      <c r="E20" s="110"/>
      <c r="F20" s="110"/>
      <c r="G20" s="111"/>
      <c r="H20" s="107"/>
      <c r="I20" s="107"/>
    </row>
    <row r="21" spans="1:9" s="108" customFormat="1" ht="12">
      <c r="A21" s="101"/>
      <c r="B21" s="112" t="s">
        <v>118</v>
      </c>
      <c r="C21" s="105">
        <f>(1*2.1)</f>
        <v>2.1</v>
      </c>
      <c r="D21" s="104"/>
      <c r="E21" s="110"/>
      <c r="F21" s="110"/>
      <c r="G21" s="111"/>
      <c r="H21" s="107"/>
      <c r="I21" s="107"/>
    </row>
    <row r="22" spans="1:9" s="108" customFormat="1" ht="12">
      <c r="A22" s="101"/>
      <c r="B22" s="112" t="s">
        <v>119</v>
      </c>
      <c r="C22" s="105">
        <f>0.9*2</f>
        <v>1.8</v>
      </c>
      <c r="D22" s="104"/>
      <c r="E22" s="110"/>
      <c r="F22" s="110"/>
      <c r="G22" s="111"/>
      <c r="H22" s="107"/>
      <c r="I22" s="107"/>
    </row>
    <row r="23" spans="1:9" s="108" customFormat="1" ht="12">
      <c r="A23" s="101"/>
      <c r="B23" s="112" t="s">
        <v>120</v>
      </c>
      <c r="C23" s="105">
        <f>0.9*2</f>
        <v>1.8</v>
      </c>
      <c r="D23" s="104"/>
      <c r="E23" s="110"/>
      <c r="F23" s="110"/>
      <c r="G23" s="111"/>
      <c r="H23" s="107"/>
      <c r="I23" s="107"/>
    </row>
    <row r="24" spans="1:9" s="108" customFormat="1" ht="12">
      <c r="A24" s="101"/>
      <c r="B24" s="112" t="s">
        <v>121</v>
      </c>
      <c r="C24" s="105">
        <f>0.9*2</f>
        <v>1.8</v>
      </c>
      <c r="D24" s="104"/>
      <c r="E24" s="110"/>
      <c r="F24" s="110"/>
      <c r="G24" s="111"/>
      <c r="H24" s="107"/>
      <c r="I24" s="107"/>
    </row>
    <row r="25" spans="1:9" s="108" customFormat="1" ht="12">
      <c r="A25" s="101"/>
      <c r="B25" s="112" t="s">
        <v>122</v>
      </c>
      <c r="C25" s="105">
        <f>1*2.1</f>
        <v>2.1</v>
      </c>
      <c r="D25" s="104"/>
      <c r="E25" s="110"/>
      <c r="F25" s="110"/>
      <c r="G25" s="111"/>
      <c r="H25" s="107"/>
      <c r="I25" s="107"/>
    </row>
    <row r="26" spans="1:9" s="108" customFormat="1" ht="12">
      <c r="A26" s="101"/>
      <c r="B26" s="112"/>
      <c r="C26" s="105">
        <f>SUM(C19:C25)</f>
        <v>18.351000000000003</v>
      </c>
      <c r="D26" s="104"/>
      <c r="E26" s="110"/>
      <c r="F26" s="110"/>
      <c r="G26" s="111"/>
      <c r="H26" s="107"/>
      <c r="I26" s="107"/>
    </row>
    <row r="27" spans="1:9" s="108" customFormat="1" ht="12">
      <c r="A27" s="101" t="s">
        <v>123</v>
      </c>
      <c r="B27" s="109" t="s">
        <v>124</v>
      </c>
      <c r="C27" s="105" t="s">
        <v>125</v>
      </c>
      <c r="D27" s="104" t="s">
        <v>93</v>
      </c>
      <c r="E27" s="110">
        <v>24.9</v>
      </c>
      <c r="F27" s="110">
        <v>0</v>
      </c>
      <c r="G27" s="111">
        <f>E27*F27</f>
        <v>0</v>
      </c>
      <c r="H27" s="107"/>
      <c r="I27" s="107"/>
    </row>
    <row r="28" spans="1:9" s="108" customFormat="1" ht="12">
      <c r="A28" s="101"/>
      <c r="B28" s="112" t="s">
        <v>126</v>
      </c>
      <c r="C28" s="105">
        <f>(2.2+2.45)*2.91-(0.8*1.97)</f>
        <v>11.9555</v>
      </c>
      <c r="D28" s="104"/>
      <c r="E28" s="110"/>
      <c r="F28" s="110"/>
      <c r="G28" s="111"/>
      <c r="H28" s="107"/>
      <c r="I28" s="107"/>
    </row>
    <row r="29" spans="1:9" s="108" customFormat="1" ht="12">
      <c r="A29" s="101"/>
      <c r="B29" s="112" t="s">
        <v>127</v>
      </c>
      <c r="C29" s="105">
        <f>(2+2.2)*2.91-(0.9*1.97)</f>
        <v>10.449000000000002</v>
      </c>
      <c r="D29" s="104"/>
      <c r="E29" s="110"/>
      <c r="F29" s="110"/>
      <c r="G29" s="111"/>
      <c r="H29" s="107"/>
      <c r="I29" s="107"/>
    </row>
    <row r="30" spans="1:9" s="108" customFormat="1" ht="12">
      <c r="A30" s="101"/>
      <c r="B30" s="112" t="s">
        <v>128</v>
      </c>
      <c r="C30" s="105">
        <f>(1.325*2.91)-(0.7*1.97)</f>
        <v>2.47675</v>
      </c>
      <c r="D30" s="104"/>
      <c r="E30" s="110"/>
      <c r="F30" s="110"/>
      <c r="G30" s="111"/>
      <c r="H30" s="107"/>
      <c r="I30" s="107"/>
    </row>
    <row r="31" spans="1:7" ht="12">
      <c r="A31" s="113"/>
      <c r="B31" s="114"/>
      <c r="C31" s="105">
        <f>SUM(C28:C30)</f>
        <v>24.88125</v>
      </c>
      <c r="D31" s="115"/>
      <c r="E31" s="116"/>
      <c r="F31" s="116"/>
      <c r="G31" s="117"/>
    </row>
    <row r="32" spans="1:9" s="108" customFormat="1" ht="12">
      <c r="A32" s="101" t="s">
        <v>129</v>
      </c>
      <c r="B32" s="109" t="s">
        <v>130</v>
      </c>
      <c r="C32" s="105" t="s">
        <v>131</v>
      </c>
      <c r="D32" s="104" t="s">
        <v>93</v>
      </c>
      <c r="E32" s="110">
        <v>12.06</v>
      </c>
      <c r="F32" s="110">
        <v>0</v>
      </c>
      <c r="G32" s="111">
        <f>E32*F32</f>
        <v>0</v>
      </c>
      <c r="H32" s="107"/>
      <c r="I32" s="107"/>
    </row>
    <row r="33" spans="1:9" s="108" customFormat="1" ht="12">
      <c r="A33" s="101"/>
      <c r="B33" s="109"/>
      <c r="C33" s="105" t="s">
        <v>132</v>
      </c>
      <c r="D33" s="104"/>
      <c r="E33" s="110"/>
      <c r="F33" s="110"/>
      <c r="G33" s="111"/>
      <c r="H33" s="107"/>
      <c r="I33" s="107"/>
    </row>
    <row r="34" spans="1:9" s="108" customFormat="1" ht="12">
      <c r="A34" s="101"/>
      <c r="B34" s="112" t="s">
        <v>133</v>
      </c>
      <c r="C34" s="105">
        <f>1*2.4</f>
        <v>2.4</v>
      </c>
      <c r="D34" s="104"/>
      <c r="E34" s="110"/>
      <c r="F34" s="110"/>
      <c r="G34" s="111"/>
      <c r="H34" s="107"/>
      <c r="I34" s="107"/>
    </row>
    <row r="35" spans="1:9" s="108" customFormat="1" ht="12">
      <c r="A35" s="101"/>
      <c r="B35" s="112" t="s">
        <v>134</v>
      </c>
      <c r="C35" s="105">
        <f>(1.6*2.6)+(1.1*2.4)</f>
        <v>6.800000000000001</v>
      </c>
      <c r="D35" s="104"/>
      <c r="E35" s="110"/>
      <c r="F35" s="110"/>
      <c r="G35" s="111"/>
      <c r="H35" s="107"/>
      <c r="I35" s="107"/>
    </row>
    <row r="36" spans="1:9" s="108" customFormat="1" ht="12">
      <c r="A36" s="101"/>
      <c r="B36" s="112" t="s">
        <v>135</v>
      </c>
      <c r="C36" s="105">
        <f>(1.1*2.6)</f>
        <v>2.8600000000000003</v>
      </c>
      <c r="D36" s="104"/>
      <c r="E36" s="110"/>
      <c r="F36" s="110"/>
      <c r="G36" s="111"/>
      <c r="H36" s="107"/>
      <c r="I36" s="107"/>
    </row>
    <row r="37" spans="1:9" s="108" customFormat="1" ht="12">
      <c r="A37" s="101"/>
      <c r="B37" s="112"/>
      <c r="C37" s="105">
        <f>SUM(C34:C36)</f>
        <v>12.060000000000002</v>
      </c>
      <c r="D37" s="104"/>
      <c r="E37" s="110"/>
      <c r="F37" s="110"/>
      <c r="G37" s="111"/>
      <c r="H37" s="107"/>
      <c r="I37" s="107"/>
    </row>
    <row r="38" spans="1:9" s="108" customFormat="1" ht="12">
      <c r="A38" s="101" t="s">
        <v>136</v>
      </c>
      <c r="B38" s="109" t="s">
        <v>137</v>
      </c>
      <c r="C38" s="105" t="s">
        <v>138</v>
      </c>
      <c r="D38" s="104" t="s">
        <v>93</v>
      </c>
      <c r="E38" s="110">
        <v>12.06</v>
      </c>
      <c r="F38" s="110">
        <v>0</v>
      </c>
      <c r="G38" s="111">
        <f>E38*F38</f>
        <v>0</v>
      </c>
      <c r="H38" s="107"/>
      <c r="I38" s="107"/>
    </row>
    <row r="39" spans="1:9" s="108" customFormat="1" ht="12">
      <c r="A39" s="101"/>
      <c r="B39" s="109"/>
      <c r="C39" s="105"/>
      <c r="D39" s="104"/>
      <c r="E39" s="110"/>
      <c r="F39" s="110"/>
      <c r="G39" s="111"/>
      <c r="H39" s="107"/>
      <c r="I39" s="107"/>
    </row>
    <row r="40" spans="1:9" s="108" customFormat="1" ht="12">
      <c r="A40" s="101" t="s">
        <v>139</v>
      </c>
      <c r="B40" s="109" t="s">
        <v>140</v>
      </c>
      <c r="C40" s="105" t="s">
        <v>141</v>
      </c>
      <c r="D40" s="104" t="s">
        <v>93</v>
      </c>
      <c r="E40" s="110">
        <v>12.06</v>
      </c>
      <c r="F40" s="110">
        <v>0</v>
      </c>
      <c r="G40" s="111">
        <f>E40*F40</f>
        <v>0</v>
      </c>
      <c r="H40" s="107"/>
      <c r="I40" s="107"/>
    </row>
    <row r="41" spans="1:9" s="108" customFormat="1" ht="12">
      <c r="A41" s="101"/>
      <c r="B41" s="112"/>
      <c r="C41" s="105"/>
      <c r="D41" s="104"/>
      <c r="E41" s="110"/>
      <c r="F41" s="110"/>
      <c r="G41" s="111"/>
      <c r="H41" s="107"/>
      <c r="I41" s="107"/>
    </row>
    <row r="42" spans="1:10" s="108" customFormat="1" ht="12">
      <c r="A42" s="101" t="s">
        <v>142</v>
      </c>
      <c r="B42" s="109" t="s">
        <v>143</v>
      </c>
      <c r="C42" s="105" t="s">
        <v>144</v>
      </c>
      <c r="D42" s="104" t="s">
        <v>93</v>
      </c>
      <c r="E42" s="110">
        <v>15.6</v>
      </c>
      <c r="F42" s="110">
        <v>0</v>
      </c>
      <c r="G42" s="111">
        <f>E42*F42</f>
        <v>0</v>
      </c>
      <c r="H42" s="107"/>
      <c r="I42" s="107"/>
      <c r="J42" s="90"/>
    </row>
    <row r="43" spans="1:9" s="108" customFormat="1" ht="12">
      <c r="A43" s="101"/>
      <c r="B43" s="109"/>
      <c r="C43" s="105" t="s">
        <v>145</v>
      </c>
      <c r="D43" s="104"/>
      <c r="E43" s="110"/>
      <c r="F43" s="110"/>
      <c r="G43" s="111"/>
      <c r="H43" s="107"/>
      <c r="I43" s="107"/>
    </row>
    <row r="44" spans="1:9" s="108" customFormat="1" ht="12">
      <c r="A44" s="101"/>
      <c r="B44" s="112" t="s">
        <v>146</v>
      </c>
      <c r="C44" s="105">
        <f>(4.1*2.6)</f>
        <v>10.66</v>
      </c>
      <c r="D44" s="104"/>
      <c r="E44" s="110"/>
      <c r="F44" s="110"/>
      <c r="G44" s="111"/>
      <c r="H44" s="107"/>
      <c r="I44" s="107"/>
    </row>
    <row r="45" spans="1:9" s="108" customFormat="1" ht="12">
      <c r="A45" s="101"/>
      <c r="B45" s="112" t="s">
        <v>135</v>
      </c>
      <c r="C45" s="105">
        <f>(1.9*2.6)</f>
        <v>4.9399999999999995</v>
      </c>
      <c r="D45" s="104"/>
      <c r="E45" s="110"/>
      <c r="F45" s="110"/>
      <c r="G45" s="111"/>
      <c r="H45" s="107"/>
      <c r="I45" s="107"/>
    </row>
    <row r="46" spans="1:9" s="108" customFormat="1" ht="12">
      <c r="A46" s="101" t="s">
        <v>147</v>
      </c>
      <c r="B46" s="109" t="s">
        <v>148</v>
      </c>
      <c r="C46" s="105" t="s">
        <v>149</v>
      </c>
      <c r="D46" s="104" t="s">
        <v>93</v>
      </c>
      <c r="E46" s="110">
        <v>15.6</v>
      </c>
      <c r="F46" s="110">
        <v>0</v>
      </c>
      <c r="G46" s="111">
        <f>E46*F46</f>
        <v>0</v>
      </c>
      <c r="H46" s="107"/>
      <c r="I46" s="107"/>
    </row>
    <row r="47" spans="1:9" s="108" customFormat="1" ht="12">
      <c r="A47" s="101" t="s">
        <v>150</v>
      </c>
      <c r="B47" s="109" t="s">
        <v>151</v>
      </c>
      <c r="C47" s="105" t="s">
        <v>152</v>
      </c>
      <c r="D47" s="104" t="s">
        <v>93</v>
      </c>
      <c r="E47" s="110">
        <v>20.45</v>
      </c>
      <c r="F47" s="110">
        <v>0</v>
      </c>
      <c r="G47" s="111">
        <f>E47*F47</f>
        <v>0</v>
      </c>
      <c r="H47" s="107"/>
      <c r="I47" s="107"/>
    </row>
    <row r="48" spans="1:9" s="108" customFormat="1" ht="12">
      <c r="A48" s="101"/>
      <c r="B48" s="109" t="s">
        <v>153</v>
      </c>
      <c r="C48" s="105">
        <f>6.2+6.5+(0.5*0.5)*31</f>
        <v>20.45</v>
      </c>
      <c r="D48" s="104"/>
      <c r="E48" s="110"/>
      <c r="F48" s="110"/>
      <c r="G48" s="111"/>
      <c r="H48" s="107"/>
      <c r="I48" s="107"/>
    </row>
    <row r="49" spans="1:9" s="108" customFormat="1" ht="12">
      <c r="A49" s="101"/>
      <c r="B49" s="109"/>
      <c r="C49" s="105"/>
      <c r="D49" s="104"/>
      <c r="E49" s="110"/>
      <c r="F49" s="110"/>
      <c r="G49" s="111"/>
      <c r="H49" s="107"/>
      <c r="I49" s="107"/>
    </row>
    <row r="50" spans="1:9" s="108" customFormat="1" ht="12">
      <c r="A50" s="101" t="s">
        <v>154</v>
      </c>
      <c r="B50" s="109" t="s">
        <v>155</v>
      </c>
      <c r="C50" s="105" t="s">
        <v>156</v>
      </c>
      <c r="D50" s="104" t="s">
        <v>157</v>
      </c>
      <c r="E50" s="110">
        <v>9.35</v>
      </c>
      <c r="F50" s="110">
        <v>0</v>
      </c>
      <c r="G50" s="111">
        <f>E50*F50</f>
        <v>0</v>
      </c>
      <c r="H50" s="107"/>
      <c r="I50" s="107"/>
    </row>
    <row r="51" spans="1:9" s="108" customFormat="1" ht="12">
      <c r="A51" s="101"/>
      <c r="B51" s="112" t="s">
        <v>158</v>
      </c>
      <c r="C51" s="105">
        <f>(2.75+3)</f>
        <v>5.75</v>
      </c>
      <c r="D51" s="104"/>
      <c r="E51" s="110"/>
      <c r="F51" s="110"/>
      <c r="G51" s="111"/>
      <c r="H51" s="107"/>
      <c r="I51" s="107"/>
    </row>
    <row r="52" spans="1:9" s="108" customFormat="1" ht="12">
      <c r="A52" s="101"/>
      <c r="B52" s="112" t="s">
        <v>159</v>
      </c>
      <c r="C52" s="105">
        <v>3.6</v>
      </c>
      <c r="D52" s="104"/>
      <c r="E52" s="110"/>
      <c r="F52" s="110"/>
      <c r="G52" s="111"/>
      <c r="H52" s="107"/>
      <c r="I52" s="107"/>
    </row>
    <row r="53" spans="1:7" ht="12">
      <c r="A53" s="118"/>
      <c r="B53" s="119"/>
      <c r="C53" s="120">
        <f>SUM(C51:C52)</f>
        <v>9.35</v>
      </c>
      <c r="D53" s="121"/>
      <c r="E53" s="122"/>
      <c r="F53" s="122"/>
      <c r="G53" s="123"/>
    </row>
    <row r="54" spans="1:9" s="108" customFormat="1" ht="12">
      <c r="A54" s="124"/>
      <c r="B54" s="125"/>
      <c r="C54" s="126" t="s">
        <v>160</v>
      </c>
      <c r="D54" s="127"/>
      <c r="E54" s="128"/>
      <c r="F54" s="129"/>
      <c r="G54" s="130">
        <f>SUM(G2:G53)</f>
        <v>0</v>
      </c>
      <c r="H54" s="107"/>
      <c r="I54" s="107"/>
    </row>
    <row r="55" spans="1:9" s="108" customFormat="1" ht="12">
      <c r="A55" s="101"/>
      <c r="B55" s="102">
        <v>4</v>
      </c>
      <c r="C55" s="103" t="s">
        <v>15</v>
      </c>
      <c r="D55" s="104"/>
      <c r="E55" s="105"/>
      <c r="F55" s="105"/>
      <c r="G55" s="106"/>
      <c r="H55" s="107"/>
      <c r="I55" s="107"/>
    </row>
    <row r="56" spans="1:9" s="108" customFormat="1" ht="12">
      <c r="A56" s="131" t="s">
        <v>161</v>
      </c>
      <c r="B56" s="132" t="s">
        <v>162</v>
      </c>
      <c r="C56" s="120" t="s">
        <v>163</v>
      </c>
      <c r="D56" s="133" t="s">
        <v>83</v>
      </c>
      <c r="E56" s="134">
        <v>24</v>
      </c>
      <c r="F56" s="134">
        <v>0</v>
      </c>
      <c r="G56" s="135">
        <f>PRODUCT(E56*F56)</f>
        <v>0</v>
      </c>
      <c r="H56" s="107"/>
      <c r="I56" s="107"/>
    </row>
    <row r="57" spans="1:9" s="108" customFormat="1" ht="12">
      <c r="A57" s="124"/>
      <c r="B57" s="125"/>
      <c r="C57" s="126" t="s">
        <v>160</v>
      </c>
      <c r="D57" s="127"/>
      <c r="E57" s="128"/>
      <c r="F57" s="129"/>
      <c r="G57" s="130">
        <f>SUM(G55:G56)</f>
        <v>0</v>
      </c>
      <c r="H57" s="107"/>
      <c r="I57" s="107"/>
    </row>
    <row r="58" spans="1:9" s="108" customFormat="1" ht="12">
      <c r="A58" s="101"/>
      <c r="B58" s="136">
        <v>61</v>
      </c>
      <c r="C58" s="137" t="s">
        <v>16</v>
      </c>
      <c r="D58" s="138"/>
      <c r="E58" s="139"/>
      <c r="F58" s="139"/>
      <c r="G58" s="140"/>
      <c r="H58" s="107"/>
      <c r="I58" s="107"/>
    </row>
    <row r="59" spans="1:9" s="108" customFormat="1" ht="12">
      <c r="A59" s="101" t="s">
        <v>164</v>
      </c>
      <c r="B59" s="141" t="s">
        <v>165</v>
      </c>
      <c r="C59" s="142" t="s">
        <v>166</v>
      </c>
      <c r="D59" s="143" t="s">
        <v>93</v>
      </c>
      <c r="E59" s="144">
        <v>272.06</v>
      </c>
      <c r="F59" s="145">
        <v>0</v>
      </c>
      <c r="G59" s="111">
        <f>E59*F59</f>
        <v>0</v>
      </c>
      <c r="H59" s="146"/>
      <c r="I59" s="107"/>
    </row>
    <row r="60" spans="1:9" s="108" customFormat="1" ht="12">
      <c r="A60" s="101"/>
      <c r="B60" s="147" t="s">
        <v>167</v>
      </c>
      <c r="C60" s="142">
        <f>(1.2*1.5)*2+(0.9*0.9)*2+(0.9*2.1)+(0.55*1)*2+(1.2+2)*2+(1.5*2.5)*3+(1.5*3.45)*2</f>
        <v>36.21</v>
      </c>
      <c r="D60" s="143"/>
      <c r="E60" s="144"/>
      <c r="F60" s="145"/>
      <c r="G60" s="111"/>
      <c r="H60" s="146"/>
      <c r="I60" s="107"/>
    </row>
    <row r="61" spans="1:9" s="108" customFormat="1" ht="12">
      <c r="A61" s="101"/>
      <c r="B61" s="141"/>
      <c r="C61" s="142">
        <f>(1*0.6)+(1.2*1.6)*3+(3*1.2)</f>
        <v>9.959999999999999</v>
      </c>
      <c r="D61" s="143"/>
      <c r="E61" s="144"/>
      <c r="F61" s="145"/>
      <c r="G61" s="111"/>
      <c r="H61" s="146"/>
      <c r="I61" s="107"/>
    </row>
    <row r="62" spans="1:9" s="108" customFormat="1" ht="12">
      <c r="A62" s="101"/>
      <c r="B62" s="147" t="s">
        <v>168</v>
      </c>
      <c r="C62" s="142">
        <f>(2.4*1.1)+(0.9*1.4)*4+(2.1*1.5)+(1.2*1.5)+(1*2.1)+(1.2*2.5)*4+(2.1*2.5)</f>
        <v>31.979999999999997</v>
      </c>
      <c r="D62" s="143"/>
      <c r="E62" s="144"/>
      <c r="F62" s="145"/>
      <c r="G62" s="111"/>
      <c r="H62" s="146"/>
      <c r="I62" s="107"/>
    </row>
    <row r="63" spans="1:9" s="108" customFormat="1" ht="12">
      <c r="A63" s="101"/>
      <c r="B63" s="141"/>
      <c r="C63" s="142">
        <f>(0.6*1.5)+(0.9*1.5)+(1.4*1.6)*2</f>
        <v>6.7299999999999995</v>
      </c>
      <c r="D63" s="143"/>
      <c r="E63" s="144"/>
      <c r="F63" s="145"/>
      <c r="G63" s="111"/>
      <c r="H63" s="146"/>
      <c r="I63" s="107"/>
    </row>
    <row r="64" spans="1:9" s="108" customFormat="1" ht="12">
      <c r="A64" s="101"/>
      <c r="B64" s="147" t="s">
        <v>169</v>
      </c>
      <c r="C64" s="142">
        <f>(1.6*2)+(0.5*1.6)+(0.8*1.5)+(1.5*2.1)+(0.9*1.6)*3</f>
        <v>12.670000000000002</v>
      </c>
      <c r="D64" s="143"/>
      <c r="E64" s="144"/>
      <c r="F64" s="145"/>
      <c r="G64" s="111"/>
      <c r="H64" s="146"/>
      <c r="I64" s="107"/>
    </row>
    <row r="65" spans="1:9" s="108" customFormat="1" ht="12">
      <c r="A65" s="101"/>
      <c r="B65" s="141"/>
      <c r="C65" s="142">
        <f>(1*1)+(1.2*2.5)+(0.8*2)*3</f>
        <v>8.8</v>
      </c>
      <c r="D65" s="143"/>
      <c r="E65" s="144"/>
      <c r="F65" s="145"/>
      <c r="G65" s="111"/>
      <c r="H65" s="146"/>
      <c r="I65" s="107"/>
    </row>
    <row r="66" spans="1:9" s="108" customFormat="1" ht="12">
      <c r="A66" s="101"/>
      <c r="B66" s="141"/>
      <c r="C66" s="142">
        <f>(1.2*1.5)+(1.2*1.6)*2+(1.5*2.5)</f>
        <v>9.39</v>
      </c>
      <c r="D66" s="143"/>
      <c r="E66" s="144"/>
      <c r="F66" s="145"/>
      <c r="G66" s="111"/>
      <c r="H66" s="146"/>
      <c r="I66" s="107"/>
    </row>
    <row r="67" spans="1:9" s="108" customFormat="1" ht="12">
      <c r="A67" s="101"/>
      <c r="B67" s="147" t="s">
        <v>170</v>
      </c>
      <c r="C67" s="142">
        <f>(0.7*1.4)*3+(1*1.4)+(1.6*1.5)+(1.7*2.7)+(1.2*2)+(0.5*1.6)</f>
        <v>14.530000000000003</v>
      </c>
      <c r="D67" s="143"/>
      <c r="E67" s="144"/>
      <c r="F67" s="145"/>
      <c r="G67" s="111"/>
      <c r="H67" s="146"/>
      <c r="I67" s="107"/>
    </row>
    <row r="68" spans="1:9" s="108" customFormat="1" ht="12">
      <c r="A68" s="101"/>
      <c r="B68" s="141"/>
      <c r="C68" s="142">
        <f>(0.8*2.4)*3+(1.2*2.5)*2+(1.5*2.5)*2+(0.6*1.1)*2+(1*1)</f>
        <v>21.58</v>
      </c>
      <c r="D68" s="143"/>
      <c r="E68" s="144"/>
      <c r="F68" s="145"/>
      <c r="G68" s="111"/>
      <c r="H68" s="146"/>
      <c r="I68" s="107"/>
    </row>
    <row r="69" spans="1:9" s="108" customFormat="1" ht="12">
      <c r="A69" s="101"/>
      <c r="B69" s="141"/>
      <c r="C69" s="142">
        <f>(1.2*1.6)*3+(1.5*1.5)</f>
        <v>8.01</v>
      </c>
      <c r="D69" s="143"/>
      <c r="E69" s="144"/>
      <c r="F69" s="145"/>
      <c r="G69" s="111"/>
      <c r="H69" s="146"/>
      <c r="I69" s="107"/>
    </row>
    <row r="70" spans="1:9" s="108" customFormat="1" ht="12">
      <c r="A70" s="101"/>
      <c r="B70" s="147" t="s">
        <v>171</v>
      </c>
      <c r="C70" s="142">
        <f>(5.8*4)+(50*0.5)+64</f>
        <v>112.2</v>
      </c>
      <c r="D70" s="143"/>
      <c r="E70" s="144"/>
      <c r="F70" s="145"/>
      <c r="G70" s="111"/>
      <c r="H70" s="146"/>
      <c r="I70" s="107"/>
    </row>
    <row r="71" spans="1:9" s="108" customFormat="1" ht="12">
      <c r="A71" s="101"/>
      <c r="B71" s="141"/>
      <c r="C71" s="142">
        <f>SUM(C60:C70)</f>
        <v>272.06</v>
      </c>
      <c r="D71" s="143"/>
      <c r="E71" s="144"/>
      <c r="F71" s="145"/>
      <c r="G71" s="111"/>
      <c r="H71" s="146"/>
      <c r="I71" s="107"/>
    </row>
    <row r="72" spans="1:9" s="108" customFormat="1" ht="12">
      <c r="A72" s="101" t="s">
        <v>172</v>
      </c>
      <c r="B72" s="141" t="s">
        <v>173</v>
      </c>
      <c r="C72" s="142" t="s">
        <v>174</v>
      </c>
      <c r="D72" s="143" t="s">
        <v>93</v>
      </c>
      <c r="E72" s="145">
        <v>32</v>
      </c>
      <c r="F72" s="145">
        <v>0</v>
      </c>
      <c r="G72" s="111">
        <f>E72*F72</f>
        <v>0</v>
      </c>
      <c r="H72" s="146"/>
      <c r="I72" s="107"/>
    </row>
    <row r="73" spans="1:9" s="108" customFormat="1" ht="12">
      <c r="A73" s="101"/>
      <c r="B73" s="112" t="s">
        <v>118</v>
      </c>
      <c r="C73" s="148">
        <v>32</v>
      </c>
      <c r="D73" s="148"/>
      <c r="E73" s="149"/>
      <c r="F73" s="149"/>
      <c r="G73" s="111"/>
      <c r="H73" s="107"/>
      <c r="I73" s="107"/>
    </row>
    <row r="74" spans="1:10" s="108" customFormat="1" ht="12">
      <c r="A74" s="101" t="s">
        <v>175</v>
      </c>
      <c r="B74" s="141" t="s">
        <v>176</v>
      </c>
      <c r="C74" s="142" t="s">
        <v>177</v>
      </c>
      <c r="D74" s="143" t="s">
        <v>93</v>
      </c>
      <c r="E74" s="145">
        <v>198.24</v>
      </c>
      <c r="F74" s="145">
        <v>0</v>
      </c>
      <c r="G74" s="111">
        <f>E74*F74</f>
        <v>0</v>
      </c>
      <c r="H74" s="146"/>
      <c r="I74" s="107"/>
      <c r="J74" s="90"/>
    </row>
    <row r="75" spans="1:9" s="108" customFormat="1" ht="12">
      <c r="A75" s="101"/>
      <c r="B75" s="112" t="s">
        <v>178</v>
      </c>
      <c r="C75" s="148">
        <f>(28.3+54+20.7+28.4+5.2+4.2+11.9+12.5)*1.2</f>
        <v>198.23999999999998</v>
      </c>
      <c r="D75" s="148"/>
      <c r="E75" s="149"/>
      <c r="F75" s="149"/>
      <c r="G75" s="111"/>
      <c r="H75" s="107"/>
      <c r="I75" s="107"/>
    </row>
    <row r="76" spans="1:9" s="108" customFormat="1" ht="12">
      <c r="A76" s="101"/>
      <c r="B76" s="112"/>
      <c r="C76" s="148"/>
      <c r="D76" s="148"/>
      <c r="E76" s="149"/>
      <c r="F76" s="149"/>
      <c r="G76" s="111"/>
      <c r="H76" s="107"/>
      <c r="I76" s="107"/>
    </row>
    <row r="77" spans="1:9" s="108" customFormat="1" ht="12">
      <c r="A77" s="101" t="s">
        <v>179</v>
      </c>
      <c r="B77" s="109" t="s">
        <v>180</v>
      </c>
      <c r="C77" s="148" t="s">
        <v>181</v>
      </c>
      <c r="D77" s="148" t="s">
        <v>83</v>
      </c>
      <c r="E77" s="149">
        <v>106</v>
      </c>
      <c r="F77" s="149">
        <v>0</v>
      </c>
      <c r="G77" s="111">
        <f>E77*F77</f>
        <v>0</v>
      </c>
      <c r="H77" s="107"/>
      <c r="I77" s="107"/>
    </row>
    <row r="78" spans="1:10" s="108" customFormat="1" ht="12">
      <c r="A78" s="101"/>
      <c r="B78" s="112" t="s">
        <v>182</v>
      </c>
      <c r="C78" s="148">
        <f>35*2</f>
        <v>70</v>
      </c>
      <c r="D78" s="148"/>
      <c r="E78" s="149"/>
      <c r="F78" s="149"/>
      <c r="G78" s="111"/>
      <c r="H78" s="107"/>
      <c r="I78" s="107"/>
      <c r="J78" s="90"/>
    </row>
    <row r="79" spans="1:10" s="108" customFormat="1" ht="12">
      <c r="A79" s="101"/>
      <c r="B79" s="112" t="s">
        <v>183</v>
      </c>
      <c r="C79" s="148">
        <v>36</v>
      </c>
      <c r="D79" s="148"/>
      <c r="E79" s="149"/>
      <c r="F79" s="149"/>
      <c r="G79" s="111"/>
      <c r="H79" s="107"/>
      <c r="I79" s="107"/>
      <c r="J79" s="90"/>
    </row>
    <row r="80" spans="1:9" s="108" customFormat="1" ht="12">
      <c r="A80" s="101" t="s">
        <v>184</v>
      </c>
      <c r="B80" s="109" t="s">
        <v>185</v>
      </c>
      <c r="C80" s="148" t="s">
        <v>186</v>
      </c>
      <c r="D80" s="148" t="s">
        <v>83</v>
      </c>
      <c r="E80" s="149">
        <v>360</v>
      </c>
      <c r="F80" s="149">
        <v>0</v>
      </c>
      <c r="G80" s="111">
        <f>E80*F80</f>
        <v>0</v>
      </c>
      <c r="H80" s="107"/>
      <c r="I80" s="107"/>
    </row>
    <row r="81" spans="1:10" s="108" customFormat="1" ht="12">
      <c r="A81" s="101"/>
      <c r="B81" s="112" t="s">
        <v>187</v>
      </c>
      <c r="C81" s="148">
        <f>35*4</f>
        <v>140</v>
      </c>
      <c r="D81" s="148"/>
      <c r="E81" s="149"/>
      <c r="F81" s="149"/>
      <c r="G81" s="111"/>
      <c r="H81" s="107"/>
      <c r="I81" s="107"/>
      <c r="J81" s="90"/>
    </row>
    <row r="82" spans="1:9" s="108" customFormat="1" ht="12">
      <c r="A82" s="101"/>
      <c r="B82" s="150" t="s">
        <v>86</v>
      </c>
      <c r="C82" s="148">
        <f>27*4</f>
        <v>108</v>
      </c>
      <c r="D82" s="148"/>
      <c r="E82" s="149"/>
      <c r="F82" s="149"/>
      <c r="G82" s="111"/>
      <c r="H82" s="107"/>
      <c r="I82" s="107"/>
    </row>
    <row r="83" spans="1:9" s="108" customFormat="1" ht="12">
      <c r="A83" s="101"/>
      <c r="B83" s="150" t="s">
        <v>153</v>
      </c>
      <c r="C83" s="148">
        <f>(28*4)</f>
        <v>112</v>
      </c>
      <c r="D83" s="148"/>
      <c r="E83" s="149"/>
      <c r="F83" s="149"/>
      <c r="G83" s="111"/>
      <c r="H83" s="107"/>
      <c r="I83" s="107"/>
    </row>
    <row r="84" spans="1:9" s="108" customFormat="1" ht="12">
      <c r="A84" s="101"/>
      <c r="B84" s="150"/>
      <c r="C84" s="148">
        <f>SUM(C81:C83)</f>
        <v>360</v>
      </c>
      <c r="D84" s="148"/>
      <c r="E84" s="149"/>
      <c r="F84" s="149"/>
      <c r="G84" s="111"/>
      <c r="H84" s="107"/>
      <c r="I84" s="107"/>
    </row>
    <row r="85" spans="1:9" s="108" customFormat="1" ht="12">
      <c r="A85" s="101" t="s">
        <v>188</v>
      </c>
      <c r="B85" s="109" t="s">
        <v>189</v>
      </c>
      <c r="C85" s="148" t="s">
        <v>190</v>
      </c>
      <c r="D85" s="148" t="s">
        <v>93</v>
      </c>
      <c r="E85" s="149">
        <v>35.74</v>
      </c>
      <c r="F85" s="149">
        <v>0</v>
      </c>
      <c r="G85" s="111">
        <f>E85*F85</f>
        <v>0</v>
      </c>
      <c r="H85" s="107"/>
      <c r="I85" s="107"/>
    </row>
    <row r="86" spans="1:9" s="108" customFormat="1" ht="12">
      <c r="A86" s="101"/>
      <c r="B86" s="112" t="s">
        <v>191</v>
      </c>
      <c r="C86" s="148">
        <f>28.5*0.25</f>
        <v>7.125</v>
      </c>
      <c r="D86" s="148"/>
      <c r="E86" s="149"/>
      <c r="F86" s="149"/>
      <c r="G86" s="111"/>
      <c r="H86" s="107"/>
      <c r="I86" s="107"/>
    </row>
    <row r="87" spans="1:9" s="108" customFormat="1" ht="12">
      <c r="A87" s="101"/>
      <c r="B87" s="112" t="s">
        <v>117</v>
      </c>
      <c r="C87" s="148">
        <f>(36.5*0.25)</f>
        <v>9.125</v>
      </c>
      <c r="D87" s="148"/>
      <c r="E87" s="149"/>
      <c r="F87" s="149"/>
      <c r="G87" s="111"/>
      <c r="H87" s="107"/>
      <c r="I87" s="107"/>
    </row>
    <row r="88" spans="1:9" s="108" customFormat="1" ht="12">
      <c r="A88" s="101"/>
      <c r="B88" s="112" t="s">
        <v>158</v>
      </c>
      <c r="C88" s="148">
        <f>(27.5+7+5.89+14+1.4+21+1.2)*0.25</f>
        <v>19.4975</v>
      </c>
      <c r="D88" s="148"/>
      <c r="E88" s="149"/>
      <c r="F88" s="149"/>
      <c r="G88" s="111"/>
      <c r="H88" s="107"/>
      <c r="I88" s="107"/>
    </row>
    <row r="89" spans="1:9" s="108" customFormat="1" ht="12">
      <c r="A89" s="101"/>
      <c r="B89" s="112"/>
      <c r="C89" s="148">
        <f>SUM(C86:C88)</f>
        <v>35.7475</v>
      </c>
      <c r="D89" s="148"/>
      <c r="E89" s="149"/>
      <c r="F89" s="149"/>
      <c r="G89" s="111"/>
      <c r="H89" s="107"/>
      <c r="I89" s="107"/>
    </row>
    <row r="90" spans="1:9" s="108" customFormat="1" ht="12">
      <c r="A90" s="101" t="s">
        <v>192</v>
      </c>
      <c r="B90" s="109" t="s">
        <v>193</v>
      </c>
      <c r="C90" s="148" t="s">
        <v>194</v>
      </c>
      <c r="D90" s="148" t="s">
        <v>93</v>
      </c>
      <c r="E90" s="149">
        <v>150.38</v>
      </c>
      <c r="F90" s="149">
        <v>0</v>
      </c>
      <c r="G90" s="111">
        <f>E90*F90</f>
        <v>0</v>
      </c>
      <c r="H90" s="107"/>
      <c r="I90" s="107"/>
    </row>
    <row r="91" spans="1:9" s="108" customFormat="1" ht="12">
      <c r="A91" s="101"/>
      <c r="B91" s="112" t="s">
        <v>191</v>
      </c>
      <c r="C91" s="148">
        <f>(29.1*2)*0.25</f>
        <v>14.55</v>
      </c>
      <c r="D91" s="148"/>
      <c r="E91" s="149"/>
      <c r="F91" s="149"/>
      <c r="G91" s="111"/>
      <c r="H91" s="107"/>
      <c r="I91" s="107"/>
    </row>
    <row r="92" spans="1:9" s="108" customFormat="1" ht="12">
      <c r="A92" s="101"/>
      <c r="B92" s="112" t="s">
        <v>117</v>
      </c>
      <c r="C92" s="148">
        <f>(2.92*2)*0.25</f>
        <v>1.46</v>
      </c>
      <c r="D92" s="148"/>
      <c r="E92" s="149"/>
      <c r="F92" s="149"/>
      <c r="G92" s="111"/>
      <c r="H92" s="107"/>
      <c r="I92" s="107"/>
    </row>
    <row r="93" spans="1:9" s="108" customFormat="1" ht="12">
      <c r="A93" s="101"/>
      <c r="B93" s="112" t="s">
        <v>158</v>
      </c>
      <c r="C93" s="148">
        <f>(15.2*13)*0.25</f>
        <v>49.4</v>
      </c>
      <c r="D93" s="148"/>
      <c r="E93" s="149"/>
      <c r="F93" s="149"/>
      <c r="G93" s="111"/>
      <c r="H93" s="107"/>
      <c r="I93" s="107"/>
    </row>
    <row r="94" spans="1:9" s="108" customFormat="1" ht="12">
      <c r="A94" s="101"/>
      <c r="B94" s="112" t="s">
        <v>195</v>
      </c>
      <c r="C94" s="148">
        <f>(2.1*6)*0.25</f>
        <v>3.1500000000000004</v>
      </c>
      <c r="D94" s="148"/>
      <c r="E94" s="149"/>
      <c r="F94" s="149"/>
      <c r="G94" s="111"/>
      <c r="H94" s="107"/>
      <c r="I94" s="107"/>
    </row>
    <row r="95" spans="1:9" s="108" customFormat="1" ht="12">
      <c r="A95" s="101"/>
      <c r="B95" s="112" t="s">
        <v>196</v>
      </c>
      <c r="C95" s="148">
        <f>(21*2*0.45)</f>
        <v>18.900000000000002</v>
      </c>
      <c r="D95" s="148"/>
      <c r="E95" s="149"/>
      <c r="F95" s="149"/>
      <c r="G95" s="111"/>
      <c r="H95" s="107"/>
      <c r="I95" s="107"/>
    </row>
    <row r="96" spans="1:9" s="108" customFormat="1" ht="12">
      <c r="A96" s="101"/>
      <c r="B96" s="112" t="s">
        <v>197</v>
      </c>
      <c r="C96" s="148">
        <f>(3.65*4)*0.25</f>
        <v>3.65</v>
      </c>
      <c r="D96" s="148"/>
      <c r="E96" s="149"/>
      <c r="F96" s="149"/>
      <c r="G96" s="111"/>
      <c r="H96" s="107"/>
      <c r="I96" s="107"/>
    </row>
    <row r="97" spans="1:9" s="108" customFormat="1" ht="12">
      <c r="A97" s="101"/>
      <c r="B97" s="112" t="s">
        <v>198</v>
      </c>
      <c r="C97" s="148">
        <f>(2.1*4)*0.25</f>
        <v>2.1</v>
      </c>
      <c r="D97" s="148"/>
      <c r="E97" s="149"/>
      <c r="F97" s="149"/>
      <c r="G97" s="111"/>
      <c r="H97" s="107"/>
      <c r="I97" s="107"/>
    </row>
    <row r="98" spans="1:9" s="108" customFormat="1" ht="12">
      <c r="A98" s="101"/>
      <c r="B98" s="112" t="s">
        <v>199</v>
      </c>
      <c r="C98" s="148">
        <f>(34*0.1)*2</f>
        <v>6.800000000000001</v>
      </c>
      <c r="D98" s="148"/>
      <c r="E98" s="149"/>
      <c r="F98" s="149"/>
      <c r="G98" s="111"/>
      <c r="H98" s="107"/>
      <c r="I98" s="107"/>
    </row>
    <row r="99" spans="1:9" s="108" customFormat="1" ht="12">
      <c r="A99" s="101"/>
      <c r="B99" s="112" t="s">
        <v>200</v>
      </c>
      <c r="C99" s="148">
        <f>(21*2)*0.25</f>
        <v>10.5</v>
      </c>
      <c r="D99" s="148"/>
      <c r="E99" s="149"/>
      <c r="F99" s="149"/>
      <c r="G99" s="111"/>
      <c r="H99" s="107"/>
      <c r="I99" s="107"/>
    </row>
    <row r="100" spans="1:9" s="108" customFormat="1" ht="12">
      <c r="A100" s="101"/>
      <c r="B100" s="112" t="s">
        <v>121</v>
      </c>
      <c r="C100" s="148">
        <f>(32.6*2)*0.25</f>
        <v>16.3</v>
      </c>
      <c r="D100" s="148"/>
      <c r="E100" s="149"/>
      <c r="F100" s="149"/>
      <c r="G100" s="111"/>
      <c r="H100" s="107"/>
      <c r="I100" s="107"/>
    </row>
    <row r="101" spans="1:9" s="108" customFormat="1" ht="12">
      <c r="A101" s="101"/>
      <c r="B101" s="112" t="s">
        <v>201</v>
      </c>
      <c r="C101" s="148">
        <f>(3.5*2)*0.25</f>
        <v>1.75</v>
      </c>
      <c r="D101" s="148"/>
      <c r="E101" s="149"/>
      <c r="F101" s="149"/>
      <c r="G101" s="111"/>
      <c r="H101" s="107"/>
      <c r="I101" s="107"/>
    </row>
    <row r="102" spans="1:9" s="108" customFormat="1" ht="12">
      <c r="A102" s="101"/>
      <c r="B102" s="112" t="s">
        <v>202</v>
      </c>
      <c r="C102" s="148">
        <f>(27.1*2)*0.1</f>
        <v>5.420000000000001</v>
      </c>
      <c r="D102" s="148"/>
      <c r="E102" s="149"/>
      <c r="F102" s="149"/>
      <c r="G102" s="111"/>
      <c r="H102" s="107"/>
      <c r="I102" s="107"/>
    </row>
    <row r="103" spans="1:9" s="108" customFormat="1" ht="12">
      <c r="A103" s="101"/>
      <c r="B103" s="112" t="s">
        <v>203</v>
      </c>
      <c r="C103" s="148">
        <f>(16.4*4)*0.25</f>
        <v>16.4</v>
      </c>
      <c r="D103" s="148"/>
      <c r="E103" s="149"/>
      <c r="F103" s="149"/>
      <c r="G103" s="111"/>
      <c r="H103" s="107"/>
      <c r="I103" s="107"/>
    </row>
    <row r="104" spans="1:9" s="108" customFormat="1" ht="12">
      <c r="A104" s="101"/>
      <c r="B104" s="112"/>
      <c r="C104" s="148">
        <f>SUM(C91:C103)</f>
        <v>150.38</v>
      </c>
      <c r="D104" s="148"/>
      <c r="E104" s="149"/>
      <c r="F104" s="149"/>
      <c r="G104" s="111"/>
      <c r="H104" s="107"/>
      <c r="I104" s="107"/>
    </row>
    <row r="105" spans="1:9" s="108" customFormat="1" ht="12">
      <c r="A105" s="101" t="s">
        <v>204</v>
      </c>
      <c r="B105" s="109" t="s">
        <v>205</v>
      </c>
      <c r="C105" s="148" t="s">
        <v>206</v>
      </c>
      <c r="D105" s="148" t="s">
        <v>93</v>
      </c>
      <c r="E105" s="149">
        <v>203.32</v>
      </c>
      <c r="F105" s="149">
        <v>0</v>
      </c>
      <c r="G105" s="111">
        <f>E105*F105</f>
        <v>0</v>
      </c>
      <c r="H105" s="107"/>
      <c r="I105" s="107"/>
    </row>
    <row r="106" spans="1:9" s="108" customFormat="1" ht="12">
      <c r="A106" s="101"/>
      <c r="B106" s="112" t="s">
        <v>207</v>
      </c>
      <c r="C106" s="148">
        <f>(5.95+3.2)*2*(10.57+0.3)-27.6</f>
        <v>171.32100000000003</v>
      </c>
      <c r="D106" s="148"/>
      <c r="E106" s="149"/>
      <c r="F106" s="149"/>
      <c r="G106" s="111"/>
      <c r="H106" s="107"/>
      <c r="I106" s="107"/>
    </row>
    <row r="107" spans="1:9" s="108" customFormat="1" ht="12">
      <c r="A107" s="101"/>
      <c r="B107" s="112" t="s">
        <v>208</v>
      </c>
      <c r="C107" s="148">
        <f>(1.3*5)*4+(5*0.3*4)</f>
        <v>32</v>
      </c>
      <c r="D107" s="148"/>
      <c r="E107" s="149"/>
      <c r="F107" s="149"/>
      <c r="G107" s="111"/>
      <c r="H107" s="107"/>
      <c r="I107" s="107"/>
    </row>
    <row r="108" spans="1:9" s="108" customFormat="1" ht="12">
      <c r="A108" s="101"/>
      <c r="B108" s="109"/>
      <c r="C108" s="148">
        <f>SUM(C106:C107)</f>
        <v>203.32100000000003</v>
      </c>
      <c r="D108" s="148"/>
      <c r="E108" s="149"/>
      <c r="F108" s="149"/>
      <c r="G108" s="111"/>
      <c r="H108" s="107"/>
      <c r="I108" s="107"/>
    </row>
    <row r="109" spans="1:9" s="108" customFormat="1" ht="12">
      <c r="A109" s="101" t="s">
        <v>209</v>
      </c>
      <c r="B109" s="109" t="s">
        <v>205</v>
      </c>
      <c r="C109" s="148" t="s">
        <v>210</v>
      </c>
      <c r="D109" s="148" t="s">
        <v>93</v>
      </c>
      <c r="E109" s="149">
        <v>1658.4</v>
      </c>
      <c r="F109" s="149">
        <v>0</v>
      </c>
      <c r="G109" s="111">
        <f>PRODUCT(E109*F109)</f>
        <v>0</v>
      </c>
      <c r="H109" s="151"/>
      <c r="I109" s="107"/>
    </row>
    <row r="110" spans="1:9" s="159" customFormat="1" ht="12">
      <c r="A110" s="152"/>
      <c r="B110" s="153" t="s">
        <v>191</v>
      </c>
      <c r="C110" s="154">
        <f>(3.2+1.8)*2*2.94-14.5+8.62</f>
        <v>23.519999999999996</v>
      </c>
      <c r="D110" s="155"/>
      <c r="E110" s="156"/>
      <c r="F110" s="156"/>
      <c r="G110" s="157"/>
      <c r="H110" s="158"/>
      <c r="I110" s="158"/>
    </row>
    <row r="111" spans="1:9" s="159" customFormat="1" ht="12">
      <c r="A111" s="152"/>
      <c r="B111" s="153" t="s">
        <v>211</v>
      </c>
      <c r="C111" s="154">
        <f>(6.17+4.5)*2*1.11+(3.1+1.9)*2*0.81</f>
        <v>31.7874</v>
      </c>
      <c r="D111" s="155"/>
      <c r="E111" s="156"/>
      <c r="F111" s="156"/>
      <c r="G111" s="157"/>
      <c r="H111" s="158"/>
      <c r="I111" s="158"/>
    </row>
    <row r="112" spans="1:9" s="159" customFormat="1" ht="12">
      <c r="A112" s="152"/>
      <c r="B112" s="160" t="s">
        <v>158</v>
      </c>
      <c r="C112" s="161">
        <f>(2.75+4.8+1.5+2.2+1.2+2.9+2.6+3+1.85+1.6+2.9+0.45+1.3+4.5)*0.81</f>
        <v>27.1755</v>
      </c>
      <c r="D112" s="162"/>
      <c r="E112" s="163"/>
      <c r="F112" s="144"/>
      <c r="G112" s="164"/>
      <c r="H112" s="158"/>
      <c r="I112" s="158"/>
    </row>
    <row r="113" spans="1:9" s="159" customFormat="1" ht="12">
      <c r="A113" s="152"/>
      <c r="B113" s="160"/>
      <c r="C113" s="161">
        <f>(1.3+2.2+2.54+5.8+1.8+1.8+1.8+5.89+7.6)*2.91-(1*2.1)*6-(4.95+15.5)</f>
        <v>56.37430000000002</v>
      </c>
      <c r="D113" s="162"/>
      <c r="E113" s="163"/>
      <c r="F113" s="144"/>
      <c r="G113" s="164"/>
      <c r="H113" s="158"/>
      <c r="I113" s="158"/>
    </row>
    <row r="114" spans="1:9" s="159" customFormat="1" ht="12">
      <c r="A114" s="152"/>
      <c r="B114" s="153" t="s">
        <v>116</v>
      </c>
      <c r="C114" s="154">
        <f>(5.915+3.37)*2*2.91-(2.3*2.1+1.6*1.4+0.8*1.97*2)+(2.3+2.1+2.1+1.6+1.4+1.4)*0.35</f>
        <v>47.6317</v>
      </c>
      <c r="D114" s="155"/>
      <c r="E114" s="156"/>
      <c r="F114" s="156"/>
      <c r="G114" s="157"/>
      <c r="H114" s="158"/>
      <c r="I114" s="158"/>
    </row>
    <row r="115" spans="1:9" s="159" customFormat="1" ht="12">
      <c r="A115" s="152"/>
      <c r="B115" s="153" t="s">
        <v>117</v>
      </c>
      <c r="C115" s="154">
        <f>(6.05+5.3)*2*2.91-(1.1*1.9*2+1*2.1*2)+(1.1+1.9+1.9)*2*0.35+(1+2.1+2.1)*2*0.35</f>
        <v>64.74700000000001</v>
      </c>
      <c r="D115" s="155"/>
      <c r="E115" s="156"/>
      <c r="F115" s="156"/>
      <c r="G115" s="157"/>
      <c r="H115" s="158"/>
      <c r="I115" s="158"/>
    </row>
    <row r="116" spans="1:9" s="159" customFormat="1" ht="12">
      <c r="A116" s="152"/>
      <c r="B116" s="153" t="s">
        <v>126</v>
      </c>
      <c r="C116" s="154">
        <f>(2.45*0.81)</f>
        <v>1.9845000000000004</v>
      </c>
      <c r="D116" s="155"/>
      <c r="E116" s="156"/>
      <c r="F116" s="156"/>
      <c r="G116" s="157"/>
      <c r="H116" s="158"/>
      <c r="I116" s="158"/>
    </row>
    <row r="117" spans="1:9" s="159" customFormat="1" ht="12">
      <c r="A117" s="152"/>
      <c r="B117" s="153" t="s">
        <v>127</v>
      </c>
      <c r="C117" s="154">
        <f>(2+2.1)*0.81</f>
        <v>3.3209999999999997</v>
      </c>
      <c r="D117" s="155"/>
      <c r="E117" s="156"/>
      <c r="F117" s="156"/>
      <c r="G117" s="157"/>
      <c r="H117" s="158"/>
      <c r="I117" s="158"/>
    </row>
    <row r="118" spans="1:9" s="170" customFormat="1" ht="12">
      <c r="A118" s="165"/>
      <c r="B118" s="153" t="s">
        <v>212</v>
      </c>
      <c r="C118" s="154">
        <f>(2+1.85)*2*2.91+(2.35+2)*2*2.91+(3.44+0.95)*2*1.41-20.85+3.12</f>
        <v>42.3738</v>
      </c>
      <c r="D118" s="166"/>
      <c r="E118" s="167"/>
      <c r="F118" s="167"/>
      <c r="G118" s="168"/>
      <c r="H118" s="169"/>
      <c r="I118" s="169"/>
    </row>
    <row r="119" spans="1:9" s="170" customFormat="1" ht="12">
      <c r="A119" s="165"/>
      <c r="B119" s="153" t="s">
        <v>111</v>
      </c>
      <c r="C119" s="154">
        <f>(1.29+0.9)*2*1.4</f>
        <v>6.132</v>
      </c>
      <c r="D119" s="166"/>
      <c r="E119" s="167"/>
      <c r="F119" s="167"/>
      <c r="G119" s="168"/>
      <c r="H119" s="169"/>
      <c r="I119" s="169"/>
    </row>
    <row r="120" spans="1:9" s="170" customFormat="1" ht="12">
      <c r="A120" s="165"/>
      <c r="B120" s="153" t="s">
        <v>213</v>
      </c>
      <c r="C120" s="154">
        <f>(1.8+0.9)*2*1.4</f>
        <v>7.56</v>
      </c>
      <c r="D120" s="166"/>
      <c r="E120" s="167"/>
      <c r="F120" s="167"/>
      <c r="G120" s="168"/>
      <c r="H120" s="169"/>
      <c r="I120" s="169"/>
    </row>
    <row r="121" spans="1:9" s="170" customFormat="1" ht="12">
      <c r="A121" s="165"/>
      <c r="B121" s="153" t="s">
        <v>214</v>
      </c>
      <c r="C121" s="154">
        <f>(5.89+2)*2*2.91+1.35*2.91</f>
        <v>49.8483</v>
      </c>
      <c r="D121" s="166"/>
      <c r="E121" s="167"/>
      <c r="F121" s="167"/>
      <c r="G121" s="168"/>
      <c r="H121" s="169"/>
      <c r="I121" s="169"/>
    </row>
    <row r="122" spans="1:9" s="159" customFormat="1" ht="12">
      <c r="A122" s="152"/>
      <c r="B122" s="160" t="s">
        <v>215</v>
      </c>
      <c r="C122" s="161">
        <f>(4.32+2.9)*2*0.81</f>
        <v>11.696400000000002</v>
      </c>
      <c r="D122" s="162"/>
      <c r="E122" s="163"/>
      <c r="F122" s="144"/>
      <c r="G122" s="164"/>
      <c r="H122" s="158"/>
      <c r="I122" s="158"/>
    </row>
    <row r="123" spans="1:9" s="170" customFormat="1" ht="12">
      <c r="A123" s="165"/>
      <c r="B123" s="153" t="s">
        <v>118</v>
      </c>
      <c r="C123" s="154">
        <f>(5.5+7.15)*2*0.81</f>
        <v>20.493000000000002</v>
      </c>
      <c r="D123" s="166"/>
      <c r="E123" s="167"/>
      <c r="F123" s="167"/>
      <c r="G123" s="168"/>
      <c r="H123" s="169"/>
      <c r="I123" s="169"/>
    </row>
    <row r="124" spans="1:9" s="170" customFormat="1" ht="12">
      <c r="A124" s="165"/>
      <c r="B124" s="153" t="s">
        <v>216</v>
      </c>
      <c r="C124" s="154">
        <f>(2.11+1.1)*2*0.81</f>
        <v>5.200200000000001</v>
      </c>
      <c r="D124" s="166"/>
      <c r="E124" s="167"/>
      <c r="F124" s="167"/>
      <c r="G124" s="168"/>
      <c r="H124" s="169"/>
      <c r="I124" s="169"/>
    </row>
    <row r="125" spans="1:9" s="170" customFormat="1" ht="12">
      <c r="A125" s="165"/>
      <c r="B125" s="153" t="s">
        <v>128</v>
      </c>
      <c r="C125" s="154">
        <f>(1.325+2.16)*2*2.6</f>
        <v>18.122000000000003</v>
      </c>
      <c r="D125" s="166"/>
      <c r="E125" s="167"/>
      <c r="F125" s="167"/>
      <c r="G125" s="168"/>
      <c r="H125" s="169"/>
      <c r="I125" s="169"/>
    </row>
    <row r="126" spans="1:9" s="170" customFormat="1" ht="12">
      <c r="A126" s="165"/>
      <c r="B126" s="153" t="s">
        <v>196</v>
      </c>
      <c r="C126" s="154">
        <f>(9.37+4.5)*2*3.6-(0.8*1.97)*3-(1.5*2.5)*2-(1.15*2.5)-(1.65*3.5)-(2.355*3.5)-(1.5*2.1)</f>
        <v>67.59349999999998</v>
      </c>
      <c r="D126" s="166"/>
      <c r="E126" s="167"/>
      <c r="F126" s="167"/>
      <c r="G126" s="168"/>
      <c r="H126" s="169"/>
      <c r="I126" s="169"/>
    </row>
    <row r="127" spans="1:9" s="170" customFormat="1" ht="12">
      <c r="A127" s="165"/>
      <c r="B127" s="153"/>
      <c r="C127" s="154">
        <f>(1+1+1.5+1.65+2.355+1+1.15+1.5)*0.45+(2.1*8+3.5*4+2.5*4)*0.45</f>
        <v>23.37975</v>
      </c>
      <c r="D127" s="166"/>
      <c r="E127" s="167"/>
      <c r="F127" s="167"/>
      <c r="G127" s="168"/>
      <c r="H127" s="169"/>
      <c r="I127" s="169"/>
    </row>
    <row r="128" spans="1:9" s="170" customFormat="1" ht="12">
      <c r="A128" s="165"/>
      <c r="B128" s="153"/>
      <c r="C128" s="154">
        <f>(1.35+0.645+0.9+1.205+2.3)*3.6-(0.6*1.97)*2</f>
        <v>20.676</v>
      </c>
      <c r="D128" s="166"/>
      <c r="E128" s="167"/>
      <c r="F128" s="167"/>
      <c r="G128" s="168"/>
      <c r="H128" s="169"/>
      <c r="I128" s="169"/>
    </row>
    <row r="129" spans="1:9" s="170" customFormat="1" ht="12">
      <c r="A129" s="165"/>
      <c r="B129" s="153"/>
      <c r="C129" s="154">
        <f>(3.5+1.81)*2*3.6-(2.355*3.5)-(2.4*3.5)+(2.355+3.5+3.5+2.4+3.5+3.5)*0.5</f>
        <v>30.96700000000001</v>
      </c>
      <c r="D129" s="166"/>
      <c r="E129" s="167"/>
      <c r="F129" s="167"/>
      <c r="G129" s="168"/>
      <c r="H129" s="169"/>
      <c r="I129" s="169"/>
    </row>
    <row r="130" spans="1:9" s="170" customFormat="1" ht="12">
      <c r="A130" s="165"/>
      <c r="B130" s="153"/>
      <c r="C130" s="154">
        <f>(2.6+0.815)*2*3.6-(0.8*1.97)-(1.65*3.5)+(1.65+3.5+3.5)*0.5</f>
        <v>21.562</v>
      </c>
      <c r="D130" s="166"/>
      <c r="E130" s="167"/>
      <c r="F130" s="167"/>
      <c r="G130" s="168"/>
      <c r="H130" s="169"/>
      <c r="I130" s="169"/>
    </row>
    <row r="131" spans="1:9" s="170" customFormat="1" ht="12">
      <c r="A131" s="165"/>
      <c r="B131" s="153" t="s">
        <v>197</v>
      </c>
      <c r="C131" s="154">
        <f>(6.65+2.57)*2*3.6-(0.8*1.97)*3-(1.5*2.5)-(1.3*3.6)</f>
        <v>53.226</v>
      </c>
      <c r="D131" s="166"/>
      <c r="E131" s="167"/>
      <c r="F131" s="167"/>
      <c r="G131" s="168"/>
      <c r="H131" s="169"/>
      <c r="I131" s="169"/>
    </row>
    <row r="132" spans="1:9" s="170" customFormat="1" ht="12">
      <c r="A132" s="165"/>
      <c r="B132" s="153"/>
      <c r="C132" s="154">
        <f>(1.15+1+1.5+1.99)*0.45+(2.1*4+2.5*4)*0.5</f>
        <v>11.738</v>
      </c>
      <c r="D132" s="166"/>
      <c r="E132" s="167"/>
      <c r="F132" s="167"/>
      <c r="G132" s="168"/>
      <c r="H132" s="169"/>
      <c r="I132" s="169"/>
    </row>
    <row r="133" spans="1:9" s="170" customFormat="1" ht="12">
      <c r="A133" s="165"/>
      <c r="B133" s="153"/>
      <c r="C133" s="154">
        <f>(6.4+3.5)*2*3.6-(1.3*3.6)-(1.15*2.5)-(0.8*1.97)*3+(1.15+2.5+2.5)*0.45</f>
        <v>61.76449999999999</v>
      </c>
      <c r="D133" s="166"/>
      <c r="E133" s="167"/>
      <c r="F133" s="167"/>
      <c r="G133" s="168"/>
      <c r="H133" s="169"/>
      <c r="I133" s="169"/>
    </row>
    <row r="134" spans="1:9" s="170" customFormat="1" ht="12">
      <c r="A134" s="165"/>
      <c r="B134" s="153" t="s">
        <v>198</v>
      </c>
      <c r="C134" s="154">
        <f>(10.2+2.54)*2*3.6-(0.8*1.97)*5-(1.62*2.1)-(1.5*2.1)</f>
        <v>77.29599999999999</v>
      </c>
      <c r="D134" s="166"/>
      <c r="E134" s="167"/>
      <c r="F134" s="167"/>
      <c r="G134" s="168"/>
      <c r="H134" s="169"/>
      <c r="I134" s="169"/>
    </row>
    <row r="135" spans="1:9" s="170" customFormat="1" ht="12">
      <c r="A135" s="165"/>
      <c r="B135" s="153"/>
      <c r="C135" s="154">
        <f>(1.24+1.5+1.62+1.25+1.25)*0.4+(2.1*4)*0.3</f>
        <v>5.264000000000001</v>
      </c>
      <c r="D135" s="166"/>
      <c r="E135" s="167"/>
      <c r="F135" s="167"/>
      <c r="G135" s="168"/>
      <c r="H135" s="169"/>
      <c r="I135" s="169"/>
    </row>
    <row r="136" spans="1:9" s="170" customFormat="1" ht="12">
      <c r="A136" s="165"/>
      <c r="B136" s="153"/>
      <c r="C136" s="154">
        <f>(1.89+1.1)*2*3.6-(0.8*1.97)*2-(0.9*1.97)</f>
        <v>16.603</v>
      </c>
      <c r="D136" s="166"/>
      <c r="E136" s="167"/>
      <c r="F136" s="167"/>
      <c r="G136" s="168"/>
      <c r="H136" s="169"/>
      <c r="I136" s="169"/>
    </row>
    <row r="137" spans="1:9" s="170" customFormat="1" ht="12">
      <c r="A137" s="165"/>
      <c r="B137" s="153" t="s">
        <v>199</v>
      </c>
      <c r="C137" s="154">
        <f>(5.89+4.12)*2*3.6+(2.94*3.6)-(0.8*1.97)-(1.2*2)*2-(0.9*2)*2</f>
        <v>72.68000000000002</v>
      </c>
      <c r="D137" s="166"/>
      <c r="E137" s="167"/>
      <c r="F137" s="167"/>
      <c r="G137" s="168"/>
      <c r="H137" s="169"/>
      <c r="I137" s="169"/>
    </row>
    <row r="138" spans="1:9" s="170" customFormat="1" ht="12">
      <c r="A138" s="165"/>
      <c r="B138" s="153"/>
      <c r="C138" s="154">
        <f>(1.2*2+0.9*2+2*8)*0.35</f>
        <v>7.07</v>
      </c>
      <c r="D138" s="166"/>
      <c r="E138" s="167"/>
      <c r="F138" s="167"/>
      <c r="G138" s="168"/>
      <c r="H138" s="169"/>
      <c r="I138" s="169"/>
    </row>
    <row r="139" spans="1:9" s="170" customFormat="1" ht="12">
      <c r="A139" s="165"/>
      <c r="B139" s="153" t="s">
        <v>217</v>
      </c>
      <c r="C139" s="154">
        <f>(2.3+0.89)*2*3.4-(0.6*1.97)-(0.8*1.97)</f>
        <v>18.934</v>
      </c>
      <c r="D139" s="166"/>
      <c r="E139" s="167"/>
      <c r="F139" s="167"/>
      <c r="G139" s="168"/>
      <c r="H139" s="169"/>
      <c r="I139" s="169"/>
    </row>
    <row r="140" spans="1:9" s="170" customFormat="1" ht="12">
      <c r="A140" s="165"/>
      <c r="B140" s="153" t="s">
        <v>119</v>
      </c>
      <c r="C140" s="154">
        <f>(1.9+1.83)*2*1.5</f>
        <v>11.19</v>
      </c>
      <c r="D140" s="166"/>
      <c r="E140" s="167"/>
      <c r="F140" s="167"/>
      <c r="G140" s="168"/>
      <c r="H140" s="169"/>
      <c r="I140" s="169"/>
    </row>
    <row r="141" spans="1:9" s="170" customFormat="1" ht="12">
      <c r="A141" s="165"/>
      <c r="B141" s="153"/>
      <c r="C141" s="154">
        <f>(1.71+1.27)*2*1.5</f>
        <v>8.94</v>
      </c>
      <c r="D141" s="166"/>
      <c r="E141" s="167"/>
      <c r="F141" s="167"/>
      <c r="G141" s="168"/>
      <c r="H141" s="169"/>
      <c r="I141" s="169"/>
    </row>
    <row r="142" spans="1:9" s="170" customFormat="1" ht="12">
      <c r="A142" s="165"/>
      <c r="B142" s="153" t="s">
        <v>120</v>
      </c>
      <c r="C142" s="154">
        <f>(2.97+1.95)*2*1.5</f>
        <v>14.76</v>
      </c>
      <c r="D142" s="166"/>
      <c r="E142" s="167"/>
      <c r="F142" s="167"/>
      <c r="G142" s="168"/>
      <c r="H142" s="169"/>
      <c r="I142" s="169"/>
    </row>
    <row r="143" spans="1:9" s="170" customFormat="1" ht="12">
      <c r="A143" s="165"/>
      <c r="B143" s="153" t="s">
        <v>218</v>
      </c>
      <c r="C143" s="154">
        <f>(4.95+4.595)*2*3.6-(1.2*2.4)*2-(0.8*1.97)+(1.2+2.4+2.4)*2*0.35</f>
        <v>65.58800000000001</v>
      </c>
      <c r="D143" s="166"/>
      <c r="E143" s="167"/>
      <c r="F143" s="167"/>
      <c r="G143" s="168"/>
      <c r="H143" s="169"/>
      <c r="I143" s="169"/>
    </row>
    <row r="144" spans="1:9" s="170" customFormat="1" ht="12">
      <c r="A144" s="165"/>
      <c r="B144" s="153" t="s">
        <v>121</v>
      </c>
      <c r="C144" s="154">
        <f>(3.6+1.2)*2*1.5</f>
        <v>14.399999999999999</v>
      </c>
      <c r="D144" s="166"/>
      <c r="E144" s="167"/>
      <c r="F144" s="167"/>
      <c r="G144" s="168"/>
      <c r="H144" s="169"/>
      <c r="I144" s="169"/>
    </row>
    <row r="145" spans="1:9" s="170" customFormat="1" ht="12">
      <c r="A145" s="165"/>
      <c r="B145" s="153" t="s">
        <v>219</v>
      </c>
      <c r="C145" s="154">
        <f>(1.89+1.2)*2*1.5</f>
        <v>9.27</v>
      </c>
      <c r="D145" s="166"/>
      <c r="E145" s="167"/>
      <c r="F145" s="167"/>
      <c r="G145" s="168"/>
      <c r="H145" s="169"/>
      <c r="I145" s="169"/>
    </row>
    <row r="146" spans="1:9" s="170" customFormat="1" ht="12">
      <c r="A146" s="165"/>
      <c r="B146" s="153" t="s">
        <v>220</v>
      </c>
      <c r="C146" s="154">
        <f>(1.86+2.4)*2*1.5</f>
        <v>12.78</v>
      </c>
      <c r="D146" s="166"/>
      <c r="E146" s="167"/>
      <c r="F146" s="167"/>
      <c r="G146" s="168"/>
      <c r="H146" s="169"/>
      <c r="I146" s="169"/>
    </row>
    <row r="147" spans="1:9" s="159" customFormat="1" ht="12">
      <c r="A147" s="152"/>
      <c r="B147" s="153" t="s">
        <v>159</v>
      </c>
      <c r="C147" s="154">
        <f>(3.09+4.3)*2*3.4-(1.2*2.4)-(0.9*0.9)-(0.8*1.97)+(0.9*3+1.2+2.4+2.4)*0.35</f>
        <v>48.03099999999999</v>
      </c>
      <c r="D147" s="155"/>
      <c r="E147" s="156"/>
      <c r="F147" s="156"/>
      <c r="G147" s="157"/>
      <c r="H147" s="158"/>
      <c r="I147" s="158"/>
    </row>
    <row r="148" spans="1:9" s="159" customFormat="1" ht="12">
      <c r="A148" s="152"/>
      <c r="B148" s="153" t="s">
        <v>201</v>
      </c>
      <c r="C148" s="154">
        <f>(10.67+6.95)*2*3.5-(0.8*1.97)*2-(0.6*1.97)-(1.5*3.45)*2-(1.5*2.4)*2+(29.4*0.35)</f>
        <v>111.74600000000001</v>
      </c>
      <c r="D148" s="155"/>
      <c r="E148" s="156"/>
      <c r="F148" s="156"/>
      <c r="G148" s="157"/>
      <c r="H148" s="158"/>
      <c r="I148" s="158"/>
    </row>
    <row r="149" spans="1:9" s="159" customFormat="1" ht="12">
      <c r="A149" s="152"/>
      <c r="B149" s="153" t="s">
        <v>221</v>
      </c>
      <c r="C149" s="154">
        <f>(1.5+1.71)*2*3.4-(0.8*1.97)*3-(0.9*1.5)+(3.9*0.35)</f>
        <v>17.115000000000002</v>
      </c>
      <c r="D149" s="155"/>
      <c r="E149" s="156"/>
      <c r="F149" s="156"/>
      <c r="G149" s="157"/>
      <c r="H149" s="158"/>
      <c r="I149" s="158"/>
    </row>
    <row r="150" spans="1:9" s="159" customFormat="1" ht="12">
      <c r="A150" s="152"/>
      <c r="B150" s="153" t="s">
        <v>122</v>
      </c>
      <c r="C150" s="154">
        <f>(6.06+1.8)*2*3.14-(0.8*1.97*2)-(1.55*2.1)+(3.85*0.45)</f>
        <v>44.686299999999996</v>
      </c>
      <c r="D150" s="155"/>
      <c r="E150" s="156"/>
      <c r="F150" s="156"/>
      <c r="G150" s="157"/>
      <c r="H150" s="158"/>
      <c r="I150" s="158"/>
    </row>
    <row r="151" spans="1:9" s="159" customFormat="1" ht="12">
      <c r="A151" s="152"/>
      <c r="B151" s="153" t="s">
        <v>222</v>
      </c>
      <c r="C151" s="155">
        <f>(18.47+2.04+4.5+0.35+3.37+1.65+3.37+0.15+0.15+0.25+0.35)*2.6</f>
        <v>90.09</v>
      </c>
      <c r="D151" s="155"/>
      <c r="E151" s="156"/>
      <c r="F151" s="156"/>
      <c r="G151" s="157"/>
      <c r="H151" s="158"/>
      <c r="I151" s="158"/>
    </row>
    <row r="152" spans="1:9" s="159" customFormat="1" ht="12">
      <c r="A152" s="152"/>
      <c r="B152" s="153"/>
      <c r="C152" s="155">
        <f>(0.25+0.15+0.6+0.4538+3*0.1+0.6+0.155*2+4.66+1.05+1.535+1.05+2.4)*2.6</f>
        <v>34.73288000000001</v>
      </c>
      <c r="D152" s="155"/>
      <c r="E152" s="156"/>
      <c r="F152" s="156"/>
      <c r="G152" s="157"/>
      <c r="H152" s="158"/>
      <c r="I152" s="158"/>
    </row>
    <row r="153" spans="1:9" s="159" customFormat="1" ht="12">
      <c r="A153" s="152"/>
      <c r="B153" s="153"/>
      <c r="C153" s="155">
        <f>(0.45+0.48+4.5+1.6+4.5+0.12+0.45+0.8+2.43+11.3+4.5+1.65)*2.6</f>
        <v>85.22800000000001</v>
      </c>
      <c r="D153" s="155"/>
      <c r="E153" s="156"/>
      <c r="F153" s="156"/>
      <c r="G153" s="157"/>
      <c r="H153" s="158"/>
      <c r="I153" s="158"/>
    </row>
    <row r="154" spans="1:9" s="159" customFormat="1" ht="12">
      <c r="A154" s="152"/>
      <c r="B154" s="153"/>
      <c r="C154" s="154">
        <f>-((0.9*1.97)*6+(0.8*1.97)*6+(0.7*1.97)*1)</f>
        <v>-21.473000000000003</v>
      </c>
      <c r="D154" s="155"/>
      <c r="E154" s="156"/>
      <c r="F154" s="156"/>
      <c r="G154" s="157"/>
      <c r="H154" s="158"/>
      <c r="I154" s="158"/>
    </row>
    <row r="155" spans="1:9" s="159" customFormat="1" ht="12">
      <c r="A155" s="152"/>
      <c r="B155" s="153" t="s">
        <v>223</v>
      </c>
      <c r="C155" s="154">
        <f>(8.18+4.545)*2*3.6-(2.56*2.1)</f>
        <v>86.244</v>
      </c>
      <c r="D155" s="155"/>
      <c r="E155" s="156"/>
      <c r="F155" s="156"/>
      <c r="G155" s="157"/>
      <c r="H155" s="158"/>
      <c r="I155" s="158"/>
    </row>
    <row r="156" spans="1:9" s="159" customFormat="1" ht="12">
      <c r="A156" s="152"/>
      <c r="B156" s="153" t="s">
        <v>202</v>
      </c>
      <c r="C156" s="154">
        <f>(5.82+4.25)*2*2.71-(0.8*1.97)</f>
        <v>53.0034</v>
      </c>
      <c r="D156" s="155"/>
      <c r="E156" s="156"/>
      <c r="F156" s="156"/>
      <c r="G156" s="157"/>
      <c r="H156" s="158"/>
      <c r="I156" s="158"/>
    </row>
    <row r="157" spans="1:9" s="159" customFormat="1" ht="12">
      <c r="A157" s="152"/>
      <c r="B157" s="153" t="s">
        <v>224</v>
      </c>
      <c r="C157" s="154">
        <f>(3.37+4.42)*2*3.14-(0.8*1.97)</f>
        <v>47.3452</v>
      </c>
      <c r="D157" s="155"/>
      <c r="E157" s="156"/>
      <c r="F157" s="156"/>
      <c r="G157" s="157"/>
      <c r="H157" s="158"/>
      <c r="I157" s="158"/>
    </row>
    <row r="158" spans="1:9" s="159" customFormat="1" ht="12">
      <c r="A158" s="152"/>
      <c r="B158" s="153" t="s">
        <v>225</v>
      </c>
      <c r="C158" s="154">
        <f>(1.85+2.2)*2*1.04</f>
        <v>8.424000000000001</v>
      </c>
      <c r="D158" s="155"/>
      <c r="E158" s="156"/>
      <c r="F158" s="156"/>
      <c r="G158" s="157"/>
      <c r="H158" s="158"/>
      <c r="I158" s="158"/>
    </row>
    <row r="159" spans="1:7" ht="12">
      <c r="A159" s="113"/>
      <c r="B159" s="112" t="s">
        <v>226</v>
      </c>
      <c r="C159" s="171">
        <f>(1.4+0.9)*2*1.04</f>
        <v>4.784</v>
      </c>
      <c r="D159" s="172"/>
      <c r="E159" s="173"/>
      <c r="F159" s="173"/>
      <c r="G159" s="117"/>
    </row>
    <row r="160" spans="1:7" ht="12">
      <c r="A160" s="113"/>
      <c r="B160" s="112" t="s">
        <v>227</v>
      </c>
      <c r="C160" s="171">
        <f>(1.4+0.9)*2*1.04</f>
        <v>4.784</v>
      </c>
      <c r="D160" s="172"/>
      <c r="E160" s="173"/>
      <c r="F160" s="173"/>
      <c r="G160" s="117"/>
    </row>
    <row r="161" spans="1:7" ht="12">
      <c r="A161" s="113"/>
      <c r="B161" s="114"/>
      <c r="C161" s="171">
        <f>SUM(C110:C160)</f>
        <v>1658.3896300000004</v>
      </c>
      <c r="D161" s="172"/>
      <c r="E161" s="173"/>
      <c r="F161" s="173"/>
      <c r="G161" s="117"/>
    </row>
    <row r="162" spans="1:9" s="159" customFormat="1" ht="12">
      <c r="A162" s="152" t="s">
        <v>228</v>
      </c>
      <c r="B162" s="174" t="s">
        <v>229</v>
      </c>
      <c r="C162" s="155" t="s">
        <v>230</v>
      </c>
      <c r="D162" s="155" t="s">
        <v>93</v>
      </c>
      <c r="E162" s="156">
        <v>375.65</v>
      </c>
      <c r="F162" s="156">
        <v>0</v>
      </c>
      <c r="G162" s="157">
        <f>PRODUCT(E162*F162)</f>
        <v>0</v>
      </c>
      <c r="H162" s="158"/>
      <c r="I162" s="158"/>
    </row>
    <row r="163" spans="1:9" s="159" customFormat="1" ht="12">
      <c r="A163" s="152"/>
      <c r="B163" s="174"/>
      <c r="C163" s="155" t="s">
        <v>231</v>
      </c>
      <c r="D163" s="155"/>
      <c r="E163" s="156"/>
      <c r="F163" s="156"/>
      <c r="G163" s="157"/>
      <c r="H163" s="158"/>
      <c r="I163" s="158"/>
    </row>
    <row r="164" spans="1:9" s="159" customFormat="1" ht="12">
      <c r="A164" s="152"/>
      <c r="B164" s="160" t="s">
        <v>158</v>
      </c>
      <c r="C164" s="161">
        <f>(2.75+4.8+1.5+2.2+1.2+2.9+2.6+3+1.85+1.6+2.9+0.45+1.3+4.5)*2.1</f>
        <v>70.455</v>
      </c>
      <c r="D164" s="162"/>
      <c r="E164" s="163"/>
      <c r="F164" s="144"/>
      <c r="G164" s="164"/>
      <c r="H164" s="158"/>
      <c r="I164" s="158"/>
    </row>
    <row r="165" spans="1:9" s="159" customFormat="1" ht="12">
      <c r="A165" s="152"/>
      <c r="B165" s="160"/>
      <c r="C165" s="161">
        <f>-(0.9*2.1)*8+(0.35*5.1)*4-(1.6*2)</f>
        <v>-11.18</v>
      </c>
      <c r="D165" s="162"/>
      <c r="E165" s="163"/>
      <c r="F165" s="144"/>
      <c r="G165" s="164"/>
      <c r="H165" s="158"/>
      <c r="I165" s="158"/>
    </row>
    <row r="166" spans="1:9" s="159" customFormat="1" ht="12">
      <c r="A166" s="152"/>
      <c r="B166" s="160" t="s">
        <v>126</v>
      </c>
      <c r="C166" s="161">
        <f>(2.45*2.1)</f>
        <v>5.1450000000000005</v>
      </c>
      <c r="D166" s="162"/>
      <c r="E166" s="163"/>
      <c r="F166" s="144"/>
      <c r="G166" s="164"/>
      <c r="H166" s="158"/>
      <c r="I166" s="158"/>
    </row>
    <row r="167" spans="1:9" s="159" customFormat="1" ht="12">
      <c r="A167" s="152"/>
      <c r="B167" s="160" t="s">
        <v>127</v>
      </c>
      <c r="C167" s="161">
        <f>(2+2.1)*2.1</f>
        <v>8.61</v>
      </c>
      <c r="D167" s="162"/>
      <c r="E167" s="163"/>
      <c r="F167" s="144"/>
      <c r="G167" s="164"/>
      <c r="H167" s="158"/>
      <c r="I167" s="158"/>
    </row>
    <row r="168" spans="1:9" s="159" customFormat="1" ht="12">
      <c r="A168" s="152"/>
      <c r="B168" s="160" t="s">
        <v>215</v>
      </c>
      <c r="C168" s="161">
        <f>(4.32+2.9)*2*2.1-(0.8*1.97)</f>
        <v>28.748000000000005</v>
      </c>
      <c r="D168" s="162"/>
      <c r="E168" s="163"/>
      <c r="F168" s="144"/>
      <c r="G168" s="164"/>
      <c r="H168" s="158"/>
      <c r="I168" s="158"/>
    </row>
    <row r="169" spans="1:9" s="159" customFormat="1" ht="12">
      <c r="A169" s="152"/>
      <c r="B169" s="160" t="s">
        <v>118</v>
      </c>
      <c r="C169" s="161">
        <f>(7.15+5.5)*2*2.1-(0.8*1.6)*2</f>
        <v>50.57</v>
      </c>
      <c r="D169" s="162"/>
      <c r="E169" s="163"/>
      <c r="F169" s="144"/>
      <c r="G169" s="164"/>
      <c r="H169" s="158"/>
      <c r="I169" s="158"/>
    </row>
    <row r="170" spans="1:9" s="159" customFormat="1" ht="12">
      <c r="A170" s="152"/>
      <c r="B170" s="160"/>
      <c r="C170" s="175"/>
      <c r="D170" s="162"/>
      <c r="E170" s="163"/>
      <c r="F170" s="144"/>
      <c r="G170" s="164"/>
      <c r="H170" s="158"/>
      <c r="I170" s="158"/>
    </row>
    <row r="171" spans="1:9" s="159" customFormat="1" ht="12">
      <c r="A171" s="152"/>
      <c r="B171" s="160" t="s">
        <v>196</v>
      </c>
      <c r="C171" s="161">
        <f>(0.815+0.35+0.35)*2.1</f>
        <v>3.1815</v>
      </c>
      <c r="D171" s="162"/>
      <c r="E171" s="163"/>
      <c r="F171" s="144"/>
      <c r="G171" s="164"/>
      <c r="H171" s="158"/>
      <c r="I171" s="158"/>
    </row>
    <row r="172" spans="1:9" s="159" customFormat="1" ht="12">
      <c r="A172" s="152"/>
      <c r="B172" s="160" t="s">
        <v>197</v>
      </c>
      <c r="C172" s="161">
        <f>(1.6+1)*2*2.1-1.2</f>
        <v>9.720000000000002</v>
      </c>
      <c r="D172" s="162"/>
      <c r="E172" s="163"/>
      <c r="F172" s="144"/>
      <c r="G172" s="164"/>
      <c r="H172" s="158"/>
      <c r="I172" s="158"/>
    </row>
    <row r="173" spans="1:9" s="159" customFormat="1" ht="12">
      <c r="A173" s="152"/>
      <c r="B173" s="176" t="s">
        <v>198</v>
      </c>
      <c r="C173" s="154">
        <f>(1.89+1.3)*2*2.1-(0.8*1.97*3)</f>
        <v>8.670000000000002</v>
      </c>
      <c r="D173" s="162"/>
      <c r="E173" s="163"/>
      <c r="F173" s="144"/>
      <c r="G173" s="164"/>
      <c r="H173" s="158"/>
      <c r="I173" s="158"/>
    </row>
    <row r="174" spans="1:9" s="159" customFormat="1" ht="12">
      <c r="A174" s="152"/>
      <c r="B174" s="153" t="s">
        <v>119</v>
      </c>
      <c r="C174" s="154">
        <f>(1.9+1.83)*2*2.1-(0.7*1.97)</f>
        <v>14.287</v>
      </c>
      <c r="D174" s="155"/>
      <c r="E174" s="156"/>
      <c r="F174" s="156"/>
      <c r="G174" s="157"/>
      <c r="H174" s="158"/>
      <c r="I174" s="158"/>
    </row>
    <row r="175" spans="1:9" s="159" customFormat="1" ht="12">
      <c r="A175" s="152"/>
      <c r="B175" s="153"/>
      <c r="C175" s="154">
        <f>(1.71+1.27)*2*2.1-(0.7*1.97)*2</f>
        <v>9.758</v>
      </c>
      <c r="D175" s="155"/>
      <c r="E175" s="156"/>
      <c r="F175" s="156"/>
      <c r="G175" s="157"/>
      <c r="H175" s="158"/>
      <c r="I175" s="158"/>
    </row>
    <row r="176" spans="1:9" s="159" customFormat="1" ht="12">
      <c r="A176" s="152"/>
      <c r="B176" s="153" t="s">
        <v>120</v>
      </c>
      <c r="C176" s="154">
        <f>(2.97+1.95)*2*2.1-(0.8*1.97)</f>
        <v>19.088</v>
      </c>
      <c r="D176" s="155"/>
      <c r="E176" s="156"/>
      <c r="F176" s="156"/>
      <c r="G176" s="157"/>
      <c r="H176" s="158"/>
      <c r="I176" s="158"/>
    </row>
    <row r="177" spans="1:9" s="159" customFormat="1" ht="12">
      <c r="A177" s="152"/>
      <c r="B177" s="153" t="s">
        <v>218</v>
      </c>
      <c r="C177" s="154">
        <f>(3.6+1.8)*1.5</f>
        <v>8.100000000000001</v>
      </c>
      <c r="D177" s="155"/>
      <c r="E177" s="156"/>
      <c r="F177" s="156"/>
      <c r="G177" s="157"/>
      <c r="H177" s="158"/>
      <c r="I177" s="158"/>
    </row>
    <row r="178" spans="1:9" s="159" customFormat="1" ht="12">
      <c r="A178" s="152"/>
      <c r="B178" s="153" t="s">
        <v>121</v>
      </c>
      <c r="C178" s="154">
        <f>(2+1.2)*2*2.1+(1.5+1.2)*2*2.1-(0.7*1.97)*2</f>
        <v>22.022000000000002</v>
      </c>
      <c r="D178" s="155"/>
      <c r="E178" s="156"/>
      <c r="F178" s="156"/>
      <c r="G178" s="157"/>
      <c r="H178" s="158"/>
      <c r="I178" s="158"/>
    </row>
    <row r="179" spans="1:9" s="159" customFormat="1" ht="12">
      <c r="A179" s="152"/>
      <c r="B179" s="153" t="s">
        <v>219</v>
      </c>
      <c r="C179" s="154">
        <f>(1.89+1.2)*2*2.1</f>
        <v>12.978</v>
      </c>
      <c r="D179" s="155"/>
      <c r="E179" s="156"/>
      <c r="F179" s="156"/>
      <c r="G179" s="157"/>
      <c r="H179" s="158"/>
      <c r="I179" s="158"/>
    </row>
    <row r="180" spans="1:9" s="159" customFormat="1" ht="12">
      <c r="A180" s="152"/>
      <c r="B180" s="153" t="s">
        <v>220</v>
      </c>
      <c r="C180" s="154">
        <f>(1.86+2.4)*2*2.1</f>
        <v>17.892</v>
      </c>
      <c r="D180" s="155"/>
      <c r="E180" s="156"/>
      <c r="F180" s="156"/>
      <c r="G180" s="157"/>
      <c r="H180" s="158"/>
      <c r="I180" s="158"/>
    </row>
    <row r="181" spans="1:9" s="159" customFormat="1" ht="12">
      <c r="A181" s="152"/>
      <c r="B181" s="153" t="s">
        <v>201</v>
      </c>
      <c r="C181" s="154">
        <f>(1.1+0.15+0.15)*2.1</f>
        <v>2.94</v>
      </c>
      <c r="D181" s="155"/>
      <c r="E181" s="156"/>
      <c r="F181" s="156"/>
      <c r="G181" s="157"/>
      <c r="H181" s="158"/>
      <c r="I181" s="158"/>
    </row>
    <row r="182" spans="1:9" s="159" customFormat="1" ht="12">
      <c r="A182" s="152"/>
      <c r="B182" s="153"/>
      <c r="C182" s="177"/>
      <c r="D182" s="155"/>
      <c r="E182" s="156"/>
      <c r="F182" s="156"/>
      <c r="G182" s="157"/>
      <c r="H182" s="158"/>
      <c r="I182" s="158"/>
    </row>
    <row r="183" spans="1:9" s="183" customFormat="1" ht="12">
      <c r="A183" s="165"/>
      <c r="B183" s="153" t="s">
        <v>146</v>
      </c>
      <c r="C183" s="178">
        <f>(1.6+1.7)*2*2.1-(0.6*1.97)+(1.6+1.3)*2*2.1-(0.6*1.97)+(1.6+0.9)*2*2.1</f>
        <v>34.176</v>
      </c>
      <c r="D183" s="179"/>
      <c r="E183" s="180"/>
      <c r="F183" s="180"/>
      <c r="G183" s="180"/>
      <c r="H183" s="181"/>
      <c r="I183" s="182"/>
    </row>
    <row r="184" spans="1:9" s="183" customFormat="1" ht="12">
      <c r="A184" s="165"/>
      <c r="B184" s="153" t="s">
        <v>135</v>
      </c>
      <c r="C184" s="178">
        <f>(1.9+1.6)*2*2.1-(0.8*1.97)</f>
        <v>13.124</v>
      </c>
      <c r="D184" s="179"/>
      <c r="E184" s="180"/>
      <c r="F184" s="180"/>
      <c r="G184" s="180"/>
      <c r="H184" s="181"/>
      <c r="I184" s="182"/>
    </row>
    <row r="185" spans="1:9" s="183" customFormat="1" ht="12">
      <c r="A185" s="165"/>
      <c r="B185" s="153" t="s">
        <v>232</v>
      </c>
      <c r="C185" s="178">
        <f>(2.05+2.05)*2*2.1-(0.9*1.97)</f>
        <v>15.447</v>
      </c>
      <c r="D185" s="179"/>
      <c r="E185" s="180"/>
      <c r="F185" s="180"/>
      <c r="G185" s="180"/>
      <c r="H185" s="181"/>
      <c r="I185" s="182"/>
    </row>
    <row r="186" spans="1:9" s="183" customFormat="1" ht="12">
      <c r="A186" s="165"/>
      <c r="B186" s="153" t="s">
        <v>225</v>
      </c>
      <c r="C186" s="178">
        <f>(1.85+2.2)*2*2.1-(0.7*1.97)*2-(0.8*1.97)*2</f>
        <v>11.100000000000005</v>
      </c>
      <c r="D186" s="179"/>
      <c r="E186" s="180"/>
      <c r="F186" s="180"/>
      <c r="G186" s="180"/>
      <c r="H186" s="181"/>
      <c r="I186" s="182"/>
    </row>
    <row r="187" spans="1:9" s="183" customFormat="1" ht="12">
      <c r="A187" s="165"/>
      <c r="B187" s="153" t="s">
        <v>226</v>
      </c>
      <c r="C187" s="178">
        <f>(1.4+0.9)*2*2.1-(0.7*1.97)</f>
        <v>8.281</v>
      </c>
      <c r="D187" s="179"/>
      <c r="E187" s="180"/>
      <c r="F187" s="180"/>
      <c r="G187" s="180"/>
      <c r="H187" s="181"/>
      <c r="I187" s="182"/>
    </row>
    <row r="188" spans="1:9" s="183" customFormat="1" ht="12">
      <c r="A188" s="165"/>
      <c r="B188" s="153" t="s">
        <v>227</v>
      </c>
      <c r="C188" s="178">
        <f>(1.4+0.9)*2*2.1-(0.7*1.97)</f>
        <v>8.281</v>
      </c>
      <c r="D188" s="179"/>
      <c r="E188" s="180"/>
      <c r="F188" s="180"/>
      <c r="G188" s="180"/>
      <c r="H188" s="181"/>
      <c r="I188" s="182"/>
    </row>
    <row r="189" spans="1:9" s="183" customFormat="1" ht="12">
      <c r="A189" s="165"/>
      <c r="B189" s="184" t="s">
        <v>233</v>
      </c>
      <c r="C189" s="178">
        <f>(1.5+2.3+2.7+0.6)*0.6</f>
        <v>4.260000000000001</v>
      </c>
      <c r="D189" s="179"/>
      <c r="E189" s="180"/>
      <c r="F189" s="180"/>
      <c r="G189" s="180"/>
      <c r="H189" s="181"/>
      <c r="I189" s="182"/>
    </row>
    <row r="190" spans="1:9" s="159" customFormat="1" ht="12">
      <c r="A190" s="152"/>
      <c r="B190" s="160"/>
      <c r="C190" s="175"/>
      <c r="D190" s="162"/>
      <c r="E190" s="163"/>
      <c r="F190" s="144"/>
      <c r="G190" s="164"/>
      <c r="H190" s="158"/>
      <c r="I190" s="158"/>
    </row>
    <row r="191" spans="1:9" s="170" customFormat="1" ht="12">
      <c r="A191" s="165"/>
      <c r="B191" s="153"/>
      <c r="C191" s="154">
        <f>SUM(C164:C190)</f>
        <v>375.65350000000007</v>
      </c>
      <c r="D191" s="166"/>
      <c r="E191" s="167"/>
      <c r="F191" s="167"/>
      <c r="G191" s="168"/>
      <c r="H191" s="169"/>
      <c r="I191" s="169"/>
    </row>
    <row r="192" spans="1:9" s="159" customFormat="1" ht="12">
      <c r="A192" s="152" t="s">
        <v>234</v>
      </c>
      <c r="B192" s="174" t="s">
        <v>235</v>
      </c>
      <c r="C192" s="155" t="s">
        <v>236</v>
      </c>
      <c r="D192" s="155" t="s">
        <v>93</v>
      </c>
      <c r="E192" s="156">
        <v>282.21</v>
      </c>
      <c r="F192" s="156">
        <v>0</v>
      </c>
      <c r="G192" s="157">
        <f>PRODUCT(E192*F192)</f>
        <v>0</v>
      </c>
      <c r="H192" s="158"/>
      <c r="I192" s="158"/>
    </row>
    <row r="193" spans="1:9" s="159" customFormat="1" ht="12">
      <c r="A193" s="152"/>
      <c r="B193" s="160" t="s">
        <v>191</v>
      </c>
      <c r="C193" s="161">
        <f>(1.5+2.16+1+0.45+0.1+0.1+0.7+0.8+0.9+0.7+5.8+0.1+0.1+1)*2.1</f>
        <v>32.361000000000004</v>
      </c>
      <c r="D193" s="162"/>
      <c r="E193" s="163"/>
      <c r="F193" s="144"/>
      <c r="G193" s="164"/>
      <c r="H193" s="158"/>
      <c r="I193" s="158"/>
    </row>
    <row r="194" spans="1:9" s="159" customFormat="1" ht="12">
      <c r="A194" s="152"/>
      <c r="B194" s="160" t="s">
        <v>158</v>
      </c>
      <c r="C194" s="161">
        <f>(2.75+4.8+1.5+2.2+1.2+2.9+2.6+3+1.85+1.6+2.9+0.45+1.3+4.5)*2.1</f>
        <v>70.455</v>
      </c>
      <c r="D194" s="162"/>
      <c r="E194" s="163"/>
      <c r="F194" s="144"/>
      <c r="G194" s="164"/>
      <c r="H194" s="158"/>
      <c r="I194" s="158"/>
    </row>
    <row r="195" spans="1:9" s="159" customFormat="1" ht="12">
      <c r="A195" s="152"/>
      <c r="B195" s="160"/>
      <c r="C195" s="161">
        <f>-(0.9*2.1)*8+(0.35*5.1)*4-(1.6*2)</f>
        <v>-11.18</v>
      </c>
      <c r="D195" s="162"/>
      <c r="E195" s="163"/>
      <c r="F195" s="144"/>
      <c r="G195" s="164"/>
      <c r="H195" s="158"/>
      <c r="I195" s="158"/>
    </row>
    <row r="196" spans="1:9" s="159" customFormat="1" ht="12">
      <c r="A196" s="152"/>
      <c r="B196" s="160" t="s">
        <v>215</v>
      </c>
      <c r="C196" s="161">
        <f>(4.32+2.9)*2*2.1-(0.8*1.97)</f>
        <v>28.748000000000005</v>
      </c>
      <c r="D196" s="162"/>
      <c r="E196" s="163"/>
      <c r="F196" s="144"/>
      <c r="G196" s="164"/>
      <c r="H196" s="158"/>
      <c r="I196" s="158"/>
    </row>
    <row r="197" spans="1:9" s="159" customFormat="1" ht="12">
      <c r="A197" s="152"/>
      <c r="B197" s="160" t="s">
        <v>118</v>
      </c>
      <c r="C197" s="161">
        <f>(7.15+5.5)*2*2.1-(0.8*1.6)*2</f>
        <v>50.57</v>
      </c>
      <c r="D197" s="162"/>
      <c r="E197" s="163"/>
      <c r="F197" s="144"/>
      <c r="G197" s="164"/>
      <c r="H197" s="158"/>
      <c r="I197" s="158"/>
    </row>
    <row r="198" spans="1:9" s="159" customFormat="1" ht="12">
      <c r="A198" s="152"/>
      <c r="B198" s="160"/>
      <c r="C198" s="161"/>
      <c r="D198" s="162"/>
      <c r="E198" s="163"/>
      <c r="F198" s="144"/>
      <c r="G198" s="164"/>
      <c r="H198" s="158"/>
      <c r="I198" s="158"/>
    </row>
    <row r="199" spans="1:9" s="159" customFormat="1" ht="12">
      <c r="A199" s="152"/>
      <c r="B199" s="160" t="s">
        <v>196</v>
      </c>
      <c r="C199" s="161">
        <f>(0.815+0.35+0.35)*2.1</f>
        <v>3.1815</v>
      </c>
      <c r="D199" s="162"/>
      <c r="E199" s="163"/>
      <c r="F199" s="144"/>
      <c r="G199" s="164"/>
      <c r="H199" s="158"/>
      <c r="I199" s="158"/>
    </row>
    <row r="200" spans="1:9" s="159" customFormat="1" ht="12">
      <c r="A200" s="152"/>
      <c r="B200" s="160" t="s">
        <v>197</v>
      </c>
      <c r="C200" s="161">
        <f>(1.6+1)*2*2.1-1.2</f>
        <v>9.720000000000002</v>
      </c>
      <c r="D200" s="162"/>
      <c r="E200" s="163"/>
      <c r="F200" s="144"/>
      <c r="G200" s="164"/>
      <c r="H200" s="158"/>
      <c r="I200" s="158"/>
    </row>
    <row r="201" spans="1:9" s="159" customFormat="1" ht="12">
      <c r="A201" s="152"/>
      <c r="B201" s="176" t="s">
        <v>198</v>
      </c>
      <c r="C201" s="154">
        <f>(1.89+1.3)*2*2.1-(0.8*1.97*3)</f>
        <v>8.670000000000002</v>
      </c>
      <c r="D201" s="162"/>
      <c r="E201" s="163"/>
      <c r="F201" s="144"/>
      <c r="G201" s="164"/>
      <c r="H201" s="158"/>
      <c r="I201" s="158"/>
    </row>
    <row r="202" spans="1:9" s="159" customFormat="1" ht="12">
      <c r="A202" s="152"/>
      <c r="B202" s="153" t="s">
        <v>218</v>
      </c>
      <c r="C202" s="154">
        <f>(3.6+1.8)*1.5</f>
        <v>8.100000000000001</v>
      </c>
      <c r="D202" s="155"/>
      <c r="E202" s="156"/>
      <c r="F202" s="156"/>
      <c r="G202" s="157"/>
      <c r="H202" s="158"/>
      <c r="I202" s="158"/>
    </row>
    <row r="203" spans="1:9" s="159" customFormat="1" ht="12">
      <c r="A203" s="152"/>
      <c r="B203" s="153" t="s">
        <v>201</v>
      </c>
      <c r="C203" s="154">
        <f>(1.1+0.15+0.15)*2.1</f>
        <v>2.94</v>
      </c>
      <c r="D203" s="155"/>
      <c r="E203" s="156"/>
      <c r="F203" s="156"/>
      <c r="G203" s="157"/>
      <c r="H203" s="158"/>
      <c r="I203" s="158"/>
    </row>
    <row r="204" spans="1:9" s="159" customFormat="1" ht="12">
      <c r="A204" s="152"/>
      <c r="B204" s="160"/>
      <c r="C204" s="161" t="s">
        <v>237</v>
      </c>
      <c r="D204" s="162"/>
      <c r="E204" s="163"/>
      <c r="F204" s="144"/>
      <c r="G204" s="164"/>
      <c r="H204" s="158"/>
      <c r="I204" s="158"/>
    </row>
    <row r="205" spans="1:9" s="170" customFormat="1" ht="12">
      <c r="A205" s="165"/>
      <c r="B205" s="153" t="s">
        <v>191</v>
      </c>
      <c r="C205" s="178">
        <f>(1.325*2.91)*2-(0.7*1.97)*2</f>
        <v>4.9535</v>
      </c>
      <c r="D205" s="166"/>
      <c r="E205" s="167"/>
      <c r="F205" s="167"/>
      <c r="G205" s="168"/>
      <c r="H205" s="169"/>
      <c r="I205" s="169"/>
    </row>
    <row r="206" spans="1:9" s="159" customFormat="1" ht="12">
      <c r="A206" s="152"/>
      <c r="B206" s="153"/>
      <c r="C206" s="178">
        <f>(2.2+4.65)*3-0.8*1.97-0.9*1.97</f>
        <v>17.201</v>
      </c>
      <c r="D206" s="155"/>
      <c r="E206" s="156"/>
      <c r="F206" s="156"/>
      <c r="G206" s="157"/>
      <c r="H206" s="158"/>
      <c r="I206" s="158"/>
    </row>
    <row r="207" spans="1:9" s="159" customFormat="1" ht="12">
      <c r="A207" s="152"/>
      <c r="B207" s="153" t="s">
        <v>158</v>
      </c>
      <c r="C207" s="178">
        <f>(2.2+4.65)*2.91-(0.8*1.97)-(0.9*1.97)</f>
        <v>16.584500000000002</v>
      </c>
      <c r="D207" s="155"/>
      <c r="E207" s="156"/>
      <c r="F207" s="156"/>
      <c r="G207" s="157"/>
      <c r="H207" s="158"/>
      <c r="I207" s="158"/>
    </row>
    <row r="208" spans="1:9" s="159" customFormat="1" ht="12">
      <c r="A208" s="152"/>
      <c r="B208" s="153" t="s">
        <v>116</v>
      </c>
      <c r="C208" s="178">
        <f>(2.3*2.1)+(1*2.1)</f>
        <v>6.93</v>
      </c>
      <c r="D208" s="155"/>
      <c r="E208" s="156"/>
      <c r="F208" s="156"/>
      <c r="G208" s="157"/>
      <c r="H208" s="158"/>
      <c r="I208" s="158"/>
    </row>
    <row r="209" spans="1:9" s="170" customFormat="1" ht="12">
      <c r="A209" s="165"/>
      <c r="B209" s="153" t="s">
        <v>117</v>
      </c>
      <c r="C209" s="178">
        <f>(1*2.1)</f>
        <v>2.1</v>
      </c>
      <c r="D209" s="166"/>
      <c r="E209" s="167"/>
      <c r="F209" s="167"/>
      <c r="G209" s="168"/>
      <c r="H209" s="169"/>
      <c r="I209" s="169"/>
    </row>
    <row r="210" spans="1:9" s="170" customFormat="1" ht="12">
      <c r="A210" s="165"/>
      <c r="B210" s="153" t="s">
        <v>126</v>
      </c>
      <c r="C210" s="178">
        <f>(2.45+2.1)*2*0.81</f>
        <v>7.371000000000001</v>
      </c>
      <c r="D210" s="166"/>
      <c r="E210" s="167"/>
      <c r="F210" s="167"/>
      <c r="G210" s="168"/>
      <c r="H210" s="169"/>
      <c r="I210" s="169"/>
    </row>
    <row r="211" spans="1:9" s="170" customFormat="1" ht="12">
      <c r="A211" s="165"/>
      <c r="B211" s="153" t="s">
        <v>127</v>
      </c>
      <c r="C211" s="178">
        <f>(2+2.1)*2*0.81</f>
        <v>6.6419999999999995</v>
      </c>
      <c r="D211" s="166"/>
      <c r="E211" s="167"/>
      <c r="F211" s="167"/>
      <c r="G211" s="168"/>
      <c r="H211" s="169"/>
      <c r="I211" s="169"/>
    </row>
    <row r="212" spans="1:9" s="170" customFormat="1" ht="12">
      <c r="A212" s="165"/>
      <c r="B212" s="153" t="s">
        <v>212</v>
      </c>
      <c r="C212" s="178">
        <f>(1*2.1)</f>
        <v>2.1</v>
      </c>
      <c r="D212" s="166"/>
      <c r="E212" s="167"/>
      <c r="F212" s="167"/>
      <c r="G212" s="168"/>
      <c r="H212" s="169"/>
      <c r="I212" s="169"/>
    </row>
    <row r="213" spans="1:9" s="170" customFormat="1" ht="12">
      <c r="A213" s="165"/>
      <c r="B213" s="153" t="s">
        <v>198</v>
      </c>
      <c r="C213" s="178">
        <f>1*2.1+(0.6*3.6)</f>
        <v>4.260000000000001</v>
      </c>
      <c r="D213" s="166"/>
      <c r="E213" s="167"/>
      <c r="F213" s="167"/>
      <c r="G213" s="168"/>
      <c r="H213" s="169"/>
      <c r="I213" s="169"/>
    </row>
    <row r="214" spans="1:9" s="170" customFormat="1" ht="12">
      <c r="A214" s="165"/>
      <c r="B214" s="153" t="s">
        <v>238</v>
      </c>
      <c r="C214" s="178">
        <f>(1*2.1)</f>
        <v>2.1</v>
      </c>
      <c r="D214" s="166"/>
      <c r="E214" s="167"/>
      <c r="F214" s="167"/>
      <c r="G214" s="168"/>
      <c r="H214" s="169"/>
      <c r="I214" s="169"/>
    </row>
    <row r="215" spans="1:7" ht="12">
      <c r="A215" s="113"/>
      <c r="B215" s="112" t="s">
        <v>239</v>
      </c>
      <c r="C215" s="185">
        <f>(1*2.1)</f>
        <v>2.1</v>
      </c>
      <c r="D215" s="172"/>
      <c r="E215" s="173"/>
      <c r="F215" s="173"/>
      <c r="G215" s="117"/>
    </row>
    <row r="216" spans="1:7" ht="12">
      <c r="A216" s="113"/>
      <c r="B216" s="112" t="s">
        <v>119</v>
      </c>
      <c r="C216" s="185">
        <f>(1*2.1)</f>
        <v>2.1</v>
      </c>
      <c r="D216" s="172"/>
      <c r="E216" s="173"/>
      <c r="F216" s="173"/>
      <c r="G216" s="117"/>
    </row>
    <row r="217" spans="1:7" ht="12">
      <c r="A217" s="113"/>
      <c r="B217" s="112" t="s">
        <v>120</v>
      </c>
      <c r="C217" s="185">
        <f>(1*2.1)</f>
        <v>2.1</v>
      </c>
      <c r="D217" s="172"/>
      <c r="E217" s="173"/>
      <c r="F217" s="173"/>
      <c r="G217" s="117"/>
    </row>
    <row r="218" spans="1:7" ht="12">
      <c r="A218" s="113"/>
      <c r="B218" s="112" t="s">
        <v>121</v>
      </c>
      <c r="C218" s="185">
        <f>(1*2.1)</f>
        <v>2.1</v>
      </c>
      <c r="D218" s="172"/>
      <c r="E218" s="173"/>
      <c r="F218" s="173"/>
      <c r="G218" s="117"/>
    </row>
    <row r="219" spans="1:7" ht="12">
      <c r="A219" s="113"/>
      <c r="B219" s="186"/>
      <c r="C219" s="171">
        <f>SUM(C193:C218)</f>
        <v>282.2075000000001</v>
      </c>
      <c r="D219" s="172"/>
      <c r="E219" s="173"/>
      <c r="F219" s="173"/>
      <c r="G219" s="117"/>
    </row>
    <row r="220" spans="1:9" s="108" customFormat="1" ht="12">
      <c r="A220" s="101" t="s">
        <v>240</v>
      </c>
      <c r="B220" s="109" t="s">
        <v>235</v>
      </c>
      <c r="C220" s="148" t="s">
        <v>241</v>
      </c>
      <c r="D220" s="187" t="s">
        <v>93</v>
      </c>
      <c r="E220" s="188">
        <v>194.03</v>
      </c>
      <c r="F220" s="188">
        <v>0</v>
      </c>
      <c r="G220" s="111">
        <f>PRODUCT(E220*F220)</f>
        <v>0</v>
      </c>
      <c r="H220" s="107"/>
      <c r="I220" s="107"/>
    </row>
    <row r="221" spans="1:9" s="159" customFormat="1" ht="12">
      <c r="A221" s="152"/>
      <c r="B221" s="153" t="s">
        <v>126</v>
      </c>
      <c r="C221" s="155">
        <f>(2.45+2.1)*2*2.1-(0.8*1.97)</f>
        <v>17.534000000000002</v>
      </c>
      <c r="D221" s="189"/>
      <c r="E221" s="190"/>
      <c r="F221" s="190"/>
      <c r="G221" s="157"/>
      <c r="H221" s="158"/>
      <c r="I221" s="158"/>
    </row>
    <row r="222" spans="1:9" s="159" customFormat="1" ht="12">
      <c r="A222" s="152"/>
      <c r="B222" s="153" t="s">
        <v>127</v>
      </c>
      <c r="C222" s="155">
        <f>(2+2.1)*2*2.1-0.9*1.97</f>
        <v>15.447</v>
      </c>
      <c r="D222" s="189"/>
      <c r="E222" s="190"/>
      <c r="F222" s="190"/>
      <c r="G222" s="157"/>
      <c r="H222" s="158"/>
      <c r="I222" s="158"/>
    </row>
    <row r="223" spans="1:9" s="170" customFormat="1" ht="12">
      <c r="A223" s="165"/>
      <c r="B223" s="153" t="s">
        <v>119</v>
      </c>
      <c r="C223" s="154">
        <f>(1.9+1.83)*2*2.1-(0.7*1.97)</f>
        <v>14.287</v>
      </c>
      <c r="D223" s="166"/>
      <c r="E223" s="167"/>
      <c r="F223" s="167"/>
      <c r="G223" s="168"/>
      <c r="H223" s="169"/>
      <c r="I223" s="169"/>
    </row>
    <row r="224" spans="1:9" s="170" customFormat="1" ht="12">
      <c r="A224" s="165"/>
      <c r="B224" s="153"/>
      <c r="C224" s="154">
        <f>(1.71+1.27)*2*2.1-(0.7*1.97)*2</f>
        <v>9.758</v>
      </c>
      <c r="D224" s="166"/>
      <c r="E224" s="167"/>
      <c r="F224" s="167"/>
      <c r="G224" s="168"/>
      <c r="H224" s="169"/>
      <c r="I224" s="169"/>
    </row>
    <row r="225" spans="1:9" s="170" customFormat="1" ht="12">
      <c r="A225" s="165"/>
      <c r="B225" s="153" t="s">
        <v>120</v>
      </c>
      <c r="C225" s="154">
        <f>(2.97+1.95)*2*2.1-(0.8*1.97)</f>
        <v>19.088</v>
      </c>
      <c r="D225" s="166"/>
      <c r="E225" s="167"/>
      <c r="F225" s="167"/>
      <c r="G225" s="168"/>
      <c r="H225" s="169"/>
      <c r="I225" s="169"/>
    </row>
    <row r="226" spans="1:9" s="159" customFormat="1" ht="12">
      <c r="A226" s="152"/>
      <c r="B226" s="153" t="s">
        <v>218</v>
      </c>
      <c r="C226" s="155">
        <f>(1.2+1.2+0.6)*2.1+(1.8*0.6)</f>
        <v>7.380000000000001</v>
      </c>
      <c r="D226" s="155"/>
      <c r="E226" s="156"/>
      <c r="F226" s="156"/>
      <c r="G226" s="157"/>
      <c r="H226" s="158"/>
      <c r="I226" s="158"/>
    </row>
    <row r="227" spans="1:9" s="159" customFormat="1" ht="12">
      <c r="A227" s="152"/>
      <c r="B227" s="153" t="s">
        <v>121</v>
      </c>
      <c r="C227" s="155">
        <f>(3.6+1.2)*2*2.1-(0.8*1.97)</f>
        <v>18.584</v>
      </c>
      <c r="D227" s="155"/>
      <c r="E227" s="156"/>
      <c r="F227" s="156"/>
      <c r="G227" s="157"/>
      <c r="H227" s="158"/>
      <c r="I227" s="158"/>
    </row>
    <row r="228" spans="1:9" s="159" customFormat="1" ht="12">
      <c r="A228" s="152"/>
      <c r="B228" s="153" t="s">
        <v>242</v>
      </c>
      <c r="C228" s="155">
        <f>(1.89+1.2)*2*2.1-(0.8*1.97)</f>
        <v>11.402</v>
      </c>
      <c r="D228" s="155"/>
      <c r="E228" s="156"/>
      <c r="F228" s="156"/>
      <c r="G228" s="157"/>
      <c r="H228" s="158"/>
      <c r="I228" s="158"/>
    </row>
    <row r="229" spans="1:9" s="159" customFormat="1" ht="12">
      <c r="A229" s="152"/>
      <c r="B229" s="153" t="s">
        <v>220</v>
      </c>
      <c r="C229" s="155">
        <f>(2.4+1.86)*2*2.1-(0.9*1.97)</f>
        <v>16.119</v>
      </c>
      <c r="D229" s="155"/>
      <c r="E229" s="156"/>
      <c r="F229" s="156"/>
      <c r="G229" s="157"/>
      <c r="H229" s="158"/>
      <c r="I229" s="158"/>
    </row>
    <row r="230" spans="1:9" s="159" customFormat="1" ht="12">
      <c r="A230" s="152"/>
      <c r="B230" s="153"/>
      <c r="C230" s="155"/>
      <c r="D230" s="155"/>
      <c r="E230" s="156"/>
      <c r="F230" s="156"/>
      <c r="G230" s="157"/>
      <c r="H230" s="158"/>
      <c r="I230" s="158"/>
    </row>
    <row r="231" spans="1:9" s="159" customFormat="1" ht="12">
      <c r="A231" s="152"/>
      <c r="B231" s="153" t="s">
        <v>133</v>
      </c>
      <c r="C231" s="155">
        <f>(1.9+1.6)*2.1-(0.8*1.97)</f>
        <v>5.774000000000001</v>
      </c>
      <c r="D231" s="155"/>
      <c r="E231" s="156"/>
      <c r="F231" s="156"/>
      <c r="G231" s="157"/>
      <c r="H231" s="158"/>
      <c r="I231" s="158"/>
    </row>
    <row r="232" spans="1:9" s="159" customFormat="1" ht="12">
      <c r="A232" s="152"/>
      <c r="B232" s="153" t="s">
        <v>134</v>
      </c>
      <c r="C232" s="155">
        <f>(2.11+1.6)*2.1-(0.7*1.97)</f>
        <v>6.412000000000001</v>
      </c>
      <c r="D232" s="155"/>
      <c r="E232" s="156"/>
      <c r="F232" s="156"/>
      <c r="G232" s="157"/>
      <c r="H232" s="158"/>
      <c r="I232" s="158"/>
    </row>
    <row r="233" spans="1:9" s="108" customFormat="1" ht="12">
      <c r="A233" s="101"/>
      <c r="B233" s="112" t="s">
        <v>135</v>
      </c>
      <c r="C233" s="148">
        <f>(1.6+1.9+1.6)*2.1-(0.8*1.97)</f>
        <v>9.133999999999999</v>
      </c>
      <c r="D233" s="148"/>
      <c r="E233" s="149"/>
      <c r="F233" s="149"/>
      <c r="G233" s="111"/>
      <c r="H233" s="107"/>
      <c r="I233" s="107"/>
    </row>
    <row r="234" spans="1:9" s="108" customFormat="1" ht="12">
      <c r="A234" s="101"/>
      <c r="B234" s="112" t="s">
        <v>232</v>
      </c>
      <c r="C234" s="148">
        <f>(2.05+2.05)*2*2.1-(0.9*1.97)</f>
        <v>15.447</v>
      </c>
      <c r="D234" s="148"/>
      <c r="E234" s="149"/>
      <c r="F234" s="149"/>
      <c r="G234" s="111"/>
      <c r="H234" s="107"/>
      <c r="I234" s="107"/>
    </row>
    <row r="235" spans="1:9" s="108" customFormat="1" ht="12">
      <c r="A235" s="101"/>
      <c r="B235" s="112" t="s">
        <v>225</v>
      </c>
      <c r="C235" s="148">
        <f>(2.2+1.85)*2*2.1-(0.7*1.97*2+0.8*1.97*2)</f>
        <v>11.100000000000005</v>
      </c>
      <c r="D235" s="148"/>
      <c r="E235" s="149"/>
      <c r="F235" s="149"/>
      <c r="G235" s="111"/>
      <c r="H235" s="107"/>
      <c r="I235" s="107"/>
    </row>
    <row r="236" spans="1:9" s="108" customFormat="1" ht="12">
      <c r="A236" s="101"/>
      <c r="B236" s="112" t="s">
        <v>226</v>
      </c>
      <c r="C236" s="148">
        <f>(1.4+0.9)*2*2.1-(0.7*1.97)</f>
        <v>8.281</v>
      </c>
      <c r="D236" s="148"/>
      <c r="E236" s="149"/>
      <c r="F236" s="149"/>
      <c r="G236" s="111"/>
      <c r="H236" s="107"/>
      <c r="I236" s="107"/>
    </row>
    <row r="237" spans="1:9" s="108" customFormat="1" ht="12">
      <c r="A237" s="101"/>
      <c r="B237" s="112" t="s">
        <v>227</v>
      </c>
      <c r="C237" s="148">
        <f>(1.4+0.9)*2*2.1-(0.7*1.97)</f>
        <v>8.281</v>
      </c>
      <c r="D237" s="148"/>
      <c r="E237" s="149"/>
      <c r="F237" s="149"/>
      <c r="G237" s="111"/>
      <c r="H237" s="107"/>
      <c r="I237" s="107"/>
    </row>
    <row r="238" spans="1:9" s="108" customFormat="1" ht="12">
      <c r="A238" s="101"/>
      <c r="B238" s="112"/>
      <c r="C238" s="148">
        <f>SUM(C221:C237)</f>
        <v>194.028</v>
      </c>
      <c r="D238" s="148"/>
      <c r="E238" s="149"/>
      <c r="F238" s="149"/>
      <c r="G238" s="111"/>
      <c r="H238" s="107"/>
      <c r="I238" s="107"/>
    </row>
    <row r="239" spans="1:9" s="108" customFormat="1" ht="12">
      <c r="A239" s="101" t="s">
        <v>243</v>
      </c>
      <c r="B239" s="226" t="s">
        <v>244</v>
      </c>
      <c r="C239" s="187" t="s">
        <v>245</v>
      </c>
      <c r="D239" s="187" t="s">
        <v>157</v>
      </c>
      <c r="E239" s="188">
        <v>276.8</v>
      </c>
      <c r="F239" s="188">
        <v>0</v>
      </c>
      <c r="G239" s="227">
        <f>PRODUCT(E239*F239)</f>
        <v>0</v>
      </c>
      <c r="H239" s="191"/>
      <c r="I239" s="107"/>
    </row>
    <row r="240" spans="1:9" s="108" customFormat="1" ht="12">
      <c r="A240" s="407"/>
      <c r="B240" s="403"/>
      <c r="C240" s="415">
        <f>(1+2.1+2.1)*52</f>
        <v>270.40000000000003</v>
      </c>
      <c r="D240" s="404"/>
      <c r="E240" s="405"/>
      <c r="F240" s="405"/>
      <c r="G240" s="406"/>
      <c r="H240" s="191"/>
      <c r="I240" s="107"/>
    </row>
    <row r="241" spans="1:9" s="108" customFormat="1" ht="12">
      <c r="A241" s="407"/>
      <c r="B241" s="403"/>
      <c r="C241" s="415">
        <f>(1.6+2+2.8)</f>
        <v>6.4</v>
      </c>
      <c r="D241" s="404"/>
      <c r="E241" s="405"/>
      <c r="F241" s="405"/>
      <c r="G241" s="406"/>
      <c r="H241" s="191"/>
      <c r="I241" s="107"/>
    </row>
    <row r="242" spans="1:7" ht="12">
      <c r="A242" s="408"/>
      <c r="B242" s="416"/>
      <c r="C242" s="415">
        <f>SUM(C240:C241)</f>
        <v>276.8</v>
      </c>
      <c r="D242" s="417"/>
      <c r="E242" s="418"/>
      <c r="F242" s="418"/>
      <c r="G242" s="419"/>
    </row>
    <row r="243" spans="1:9" s="159" customFormat="1" ht="12">
      <c r="A243" s="152" t="s">
        <v>246</v>
      </c>
      <c r="B243" s="409" t="s">
        <v>247</v>
      </c>
      <c r="C243" s="410" t="s">
        <v>248</v>
      </c>
      <c r="D243" s="411" t="s">
        <v>93</v>
      </c>
      <c r="E243" s="412">
        <v>443.42</v>
      </c>
      <c r="F243" s="413">
        <v>0</v>
      </c>
      <c r="G243" s="414">
        <f>E243*F243</f>
        <v>0</v>
      </c>
      <c r="H243" s="196"/>
      <c r="I243" s="158"/>
    </row>
    <row r="244" spans="1:9" s="159" customFormat="1" ht="12">
      <c r="A244" s="152"/>
      <c r="B244" s="152" t="s">
        <v>95</v>
      </c>
      <c r="C244" s="161">
        <f>(28.3+54+20.7+28.4+5.2+4.2+1.4+1.6+1.7+6.5+6.3+2.8+11.9+12.5+15.2)</f>
        <v>200.7</v>
      </c>
      <c r="D244" s="195"/>
      <c r="E244" s="163"/>
      <c r="F244" s="144"/>
      <c r="G244" s="164"/>
      <c r="H244" s="196"/>
      <c r="I244" s="158"/>
    </row>
    <row r="245" spans="1:9" s="159" customFormat="1" ht="12">
      <c r="A245" s="152"/>
      <c r="B245" s="152"/>
      <c r="C245" s="161">
        <f>(1.6+1.8+3.8+1.6+14.4+8+10.1+2.6)</f>
        <v>43.900000000000006</v>
      </c>
      <c r="D245" s="195"/>
      <c r="E245" s="163"/>
      <c r="F245" s="144"/>
      <c r="G245" s="164"/>
      <c r="H245" s="196"/>
      <c r="I245" s="158"/>
    </row>
    <row r="246" spans="1:9" s="159" customFormat="1" ht="12">
      <c r="A246" s="152"/>
      <c r="B246" s="152" t="s">
        <v>97</v>
      </c>
      <c r="C246" s="161">
        <f>(1.4+6.7+1.3+1.92+0.7)</f>
        <v>12.02</v>
      </c>
      <c r="D246" s="195"/>
      <c r="E246" s="163"/>
      <c r="F246" s="144"/>
      <c r="G246" s="164"/>
      <c r="H246" s="196"/>
      <c r="I246" s="158"/>
    </row>
    <row r="247" spans="1:9" s="159" customFormat="1" ht="12">
      <c r="A247" s="152"/>
      <c r="B247" s="152" t="s">
        <v>99</v>
      </c>
      <c r="C247" s="161">
        <f>(4.4+74.1+41.9+19.3+14.9+3.9+10.9+1.3+1.3+6.1+6.7+1.3+0.7)</f>
        <v>186.80000000000004</v>
      </c>
      <c r="D247" s="195"/>
      <c r="E247" s="163"/>
      <c r="F247" s="144"/>
      <c r="G247" s="164"/>
      <c r="H247" s="196"/>
      <c r="I247" s="158"/>
    </row>
    <row r="248" spans="1:9" s="159" customFormat="1" ht="12">
      <c r="A248" s="152"/>
      <c r="B248" s="152"/>
      <c r="C248" s="161">
        <f>SUM(C244:C247)</f>
        <v>443.4200000000001</v>
      </c>
      <c r="D248" s="195"/>
      <c r="E248" s="163"/>
      <c r="F248" s="144"/>
      <c r="G248" s="164"/>
      <c r="H248" s="196"/>
      <c r="I248" s="158"/>
    </row>
    <row r="249" spans="1:9" s="159" customFormat="1" ht="12">
      <c r="A249" s="152" t="s">
        <v>249</v>
      </c>
      <c r="B249" s="152" t="s">
        <v>250</v>
      </c>
      <c r="C249" s="161" t="s">
        <v>251</v>
      </c>
      <c r="D249" s="195" t="s">
        <v>93</v>
      </c>
      <c r="E249" s="163">
        <v>3190.76</v>
      </c>
      <c r="F249" s="144">
        <v>0</v>
      </c>
      <c r="G249" s="164">
        <f>E249*F249</f>
        <v>0</v>
      </c>
      <c r="H249" s="196"/>
      <c r="I249" s="158"/>
    </row>
    <row r="250" spans="1:9" s="170" customFormat="1" ht="12">
      <c r="A250" s="165"/>
      <c r="B250" s="153" t="s">
        <v>191</v>
      </c>
      <c r="C250" s="154">
        <f>(2.3+3.2)*2*2.91</f>
        <v>32.010000000000005</v>
      </c>
      <c r="D250" s="166"/>
      <c r="E250" s="167"/>
      <c r="F250" s="167"/>
      <c r="G250" s="168"/>
      <c r="H250" s="169"/>
      <c r="I250" s="169"/>
    </row>
    <row r="251" spans="1:7" ht="12">
      <c r="A251" s="113"/>
      <c r="B251" s="112" t="s">
        <v>211</v>
      </c>
      <c r="C251" s="171">
        <f>(6.17+4.5)*2*2.9</f>
        <v>61.885999999999996</v>
      </c>
      <c r="D251" s="172"/>
      <c r="E251" s="173"/>
      <c r="F251" s="173"/>
      <c r="G251" s="117"/>
    </row>
    <row r="252" spans="1:7" ht="12">
      <c r="A252" s="113"/>
      <c r="B252" s="112"/>
      <c r="C252" s="171">
        <f>(3.1+1.9)*2*2.91</f>
        <v>29.1</v>
      </c>
      <c r="D252" s="172"/>
      <c r="E252" s="173"/>
      <c r="F252" s="173"/>
      <c r="G252" s="117"/>
    </row>
    <row r="253" spans="1:7" ht="12">
      <c r="A253" s="113"/>
      <c r="B253" s="112" t="s">
        <v>158</v>
      </c>
      <c r="C253" s="171">
        <f>(2.2+2.54+8+1.7+1.7+4.6+1.8+5.89+7.5+1.3)*2.91</f>
        <v>108.33930000000002</v>
      </c>
      <c r="D253" s="172"/>
      <c r="E253" s="173"/>
      <c r="F253" s="173"/>
      <c r="G253" s="117"/>
    </row>
    <row r="254" spans="1:9" s="108" customFormat="1" ht="12">
      <c r="A254" s="113"/>
      <c r="B254" s="112"/>
      <c r="C254" s="171">
        <f>(2.75+4.5+1.3+0.45+2.1+1.6+1.85+3+1.85+2.9+1.2+2.15+1.5+4.7)*2.91</f>
        <v>92.68349999999998</v>
      </c>
      <c r="D254" s="172"/>
      <c r="E254" s="173"/>
      <c r="F254" s="173"/>
      <c r="G254" s="117"/>
      <c r="H254" s="107"/>
      <c r="I254" s="107"/>
    </row>
    <row r="255" spans="1:7" ht="12">
      <c r="A255" s="101"/>
      <c r="B255" s="112" t="s">
        <v>116</v>
      </c>
      <c r="C255" s="171">
        <f>(5.915+3.37)*2*2.91</f>
        <v>54.038700000000006</v>
      </c>
      <c r="D255" s="148"/>
      <c r="E255" s="149"/>
      <c r="F255" s="149"/>
      <c r="G255" s="111"/>
    </row>
    <row r="256" spans="1:7" ht="12">
      <c r="A256" s="113"/>
      <c r="B256" s="112" t="s">
        <v>117</v>
      </c>
      <c r="C256" s="171">
        <f>(6.05+5.3)*2*2.91</f>
        <v>66.057</v>
      </c>
      <c r="D256" s="172"/>
      <c r="E256" s="173"/>
      <c r="F256" s="173"/>
      <c r="G256" s="117"/>
    </row>
    <row r="257" spans="1:7" ht="12">
      <c r="A257" s="113"/>
      <c r="B257" s="112" t="s">
        <v>126</v>
      </c>
      <c r="C257" s="171">
        <f>(2.45+2.1)*2*1.41</f>
        <v>12.831000000000003</v>
      </c>
      <c r="D257" s="172"/>
      <c r="E257" s="173"/>
      <c r="F257" s="173"/>
      <c r="G257" s="117"/>
    </row>
    <row r="258" spans="1:7" ht="12">
      <c r="A258" s="113"/>
      <c r="B258" s="112" t="s">
        <v>127</v>
      </c>
      <c r="C258" s="171">
        <f>(2+2.1)*2*1.41</f>
        <v>11.562</v>
      </c>
      <c r="D258" s="172"/>
      <c r="E258" s="173"/>
      <c r="F258" s="173"/>
      <c r="G258" s="117"/>
    </row>
    <row r="259" spans="1:7" ht="12">
      <c r="A259" s="113"/>
      <c r="B259" s="112" t="s">
        <v>212</v>
      </c>
      <c r="C259" s="171">
        <f>(2+1.85)*2*2.91+(2.35+2)*2*2.91+(3.44+0.95)*2*1.41</f>
        <v>60.10380000000001</v>
      </c>
      <c r="D259" s="172"/>
      <c r="E259" s="173"/>
      <c r="F259" s="173"/>
      <c r="G259" s="117"/>
    </row>
    <row r="260" spans="1:7" ht="12">
      <c r="A260" s="113"/>
      <c r="B260" s="112" t="s">
        <v>111</v>
      </c>
      <c r="C260" s="171">
        <f>(1.29+0.9)*2*1.4</f>
        <v>6.132</v>
      </c>
      <c r="D260" s="172"/>
      <c r="E260" s="173"/>
      <c r="F260" s="173"/>
      <c r="G260" s="117"/>
    </row>
    <row r="261" spans="1:7" ht="12">
      <c r="A261" s="113"/>
      <c r="B261" s="112" t="s">
        <v>213</v>
      </c>
      <c r="C261" s="171">
        <f>(1.8+0.9)*2*1.4</f>
        <v>7.56</v>
      </c>
      <c r="D261" s="172"/>
      <c r="E261" s="173"/>
      <c r="F261" s="173"/>
      <c r="G261" s="117"/>
    </row>
    <row r="262" spans="1:7" ht="12">
      <c r="A262" s="113"/>
      <c r="B262" s="112" t="s">
        <v>252</v>
      </c>
      <c r="C262" s="171">
        <f>(1.58+1.1)*2*1.41</f>
        <v>7.557600000000002</v>
      </c>
      <c r="D262" s="172"/>
      <c r="E262" s="173"/>
      <c r="F262" s="173"/>
      <c r="G262" s="117"/>
    </row>
    <row r="263" spans="1:7" ht="12">
      <c r="A263" s="113"/>
      <c r="B263" s="112" t="s">
        <v>253</v>
      </c>
      <c r="C263" s="171">
        <f>(2.28+2.3)*2*2.91</f>
        <v>26.655600000000003</v>
      </c>
      <c r="D263" s="172"/>
      <c r="E263" s="173"/>
      <c r="F263" s="173"/>
      <c r="G263" s="117"/>
    </row>
    <row r="264" spans="1:7" ht="12">
      <c r="A264" s="113"/>
      <c r="B264" s="112" t="s">
        <v>254</v>
      </c>
      <c r="C264" s="171">
        <f>(1.55+2)*2*2.91</f>
        <v>20.661</v>
      </c>
      <c r="D264" s="172"/>
      <c r="E264" s="173"/>
      <c r="F264" s="173"/>
      <c r="G264" s="117"/>
    </row>
    <row r="265" spans="1:9" s="108" customFormat="1" ht="12">
      <c r="A265" s="113"/>
      <c r="B265" s="112" t="s">
        <v>214</v>
      </c>
      <c r="C265" s="171">
        <f>(5.89+2)*2*2.91+1.35*2.91</f>
        <v>49.8483</v>
      </c>
      <c r="D265" s="172"/>
      <c r="E265" s="173"/>
      <c r="F265" s="173"/>
      <c r="G265" s="117"/>
      <c r="H265" s="107"/>
      <c r="I265" s="107"/>
    </row>
    <row r="266" spans="1:7" ht="12">
      <c r="A266" s="101"/>
      <c r="B266" s="197" t="s">
        <v>215</v>
      </c>
      <c r="C266" s="105">
        <f>(4.32+2.9)*2*2.91</f>
        <v>42.02040000000001</v>
      </c>
      <c r="D266" s="198"/>
      <c r="E266" s="199"/>
      <c r="F266" s="145"/>
      <c r="G266" s="200"/>
    </row>
    <row r="267" spans="1:7" ht="12">
      <c r="A267" s="113"/>
      <c r="B267" s="112" t="s">
        <v>118</v>
      </c>
      <c r="C267" s="171">
        <f>(5.5+7.15)*2*2.6</f>
        <v>65.78</v>
      </c>
      <c r="D267" s="172"/>
      <c r="E267" s="173"/>
      <c r="F267" s="173"/>
      <c r="G267" s="117"/>
    </row>
    <row r="268" spans="1:7" ht="12">
      <c r="A268" s="113"/>
      <c r="B268" s="112" t="s">
        <v>255</v>
      </c>
      <c r="C268" s="171">
        <f>(5.65+3.05)*2*1.41</f>
        <v>24.534</v>
      </c>
      <c r="D268" s="172"/>
      <c r="E268" s="173"/>
      <c r="F268" s="173"/>
      <c r="G268" s="117"/>
    </row>
    <row r="269" spans="1:7" ht="12">
      <c r="A269" s="113"/>
      <c r="B269" s="112" t="s">
        <v>256</v>
      </c>
      <c r="C269" s="171">
        <f>(1.5+1)*2*2.91</f>
        <v>14.55</v>
      </c>
      <c r="D269" s="172"/>
      <c r="E269" s="173"/>
      <c r="F269" s="173"/>
      <c r="G269" s="117"/>
    </row>
    <row r="270" spans="1:7" ht="12">
      <c r="A270" s="113"/>
      <c r="B270" s="112" t="s">
        <v>257</v>
      </c>
      <c r="C270" s="171">
        <f>(1.5+1.23)*2*2.91</f>
        <v>15.8886</v>
      </c>
      <c r="D270" s="172"/>
      <c r="E270" s="173"/>
      <c r="F270" s="173"/>
      <c r="G270" s="117"/>
    </row>
    <row r="271" spans="1:7" ht="12">
      <c r="A271" s="113"/>
      <c r="B271" s="112" t="s">
        <v>216</v>
      </c>
      <c r="C271" s="171">
        <f>(2.11+1.1)*2*0.81</f>
        <v>5.200200000000001</v>
      </c>
      <c r="D271" s="172"/>
      <c r="E271" s="173"/>
      <c r="F271" s="173"/>
      <c r="G271" s="117"/>
    </row>
    <row r="272" spans="1:7" ht="12">
      <c r="A272" s="113"/>
      <c r="B272" s="112" t="s">
        <v>258</v>
      </c>
      <c r="C272" s="171">
        <f>(2.11+1.1)*2*2.91</f>
        <v>18.6822</v>
      </c>
      <c r="D272" s="172"/>
      <c r="E272" s="173"/>
      <c r="F272" s="173"/>
      <c r="G272" s="117"/>
    </row>
    <row r="273" spans="1:7" ht="12">
      <c r="A273" s="113"/>
      <c r="B273" s="112" t="s">
        <v>259</v>
      </c>
      <c r="C273" s="171">
        <f>(1.15+1.2)*2*2.91+(1.75+3.05)*2*2.91</f>
        <v>41.613</v>
      </c>
      <c r="D273" s="172"/>
      <c r="E273" s="173"/>
      <c r="F273" s="173"/>
      <c r="G273" s="117"/>
    </row>
    <row r="274" spans="1:7" ht="12">
      <c r="A274" s="113"/>
      <c r="B274" s="112" t="s">
        <v>260</v>
      </c>
      <c r="C274" s="171">
        <f>(4.47+2.15)*2*2.6</f>
        <v>34.424</v>
      </c>
      <c r="D274" s="172"/>
      <c r="E274" s="173"/>
      <c r="F274" s="173"/>
      <c r="G274" s="117"/>
    </row>
    <row r="275" spans="1:7" ht="12">
      <c r="A275" s="113"/>
      <c r="B275" s="112" t="s">
        <v>261</v>
      </c>
      <c r="C275" s="171">
        <f>(2.42+2.28)*2*0.81</f>
        <v>7.614000000000001</v>
      </c>
      <c r="D275" s="172"/>
      <c r="E275" s="173"/>
      <c r="F275" s="173"/>
      <c r="G275" s="117"/>
    </row>
    <row r="276" spans="1:7" ht="12">
      <c r="A276" s="113"/>
      <c r="B276" s="112" t="s">
        <v>128</v>
      </c>
      <c r="C276" s="171">
        <f>(1.325+2.16)*2*2.6</f>
        <v>18.122000000000003</v>
      </c>
      <c r="D276" s="172"/>
      <c r="E276" s="173"/>
      <c r="F276" s="173"/>
      <c r="G276" s="117"/>
    </row>
    <row r="277" spans="1:7" ht="12">
      <c r="A277" s="113"/>
      <c r="B277" s="112" t="s">
        <v>196</v>
      </c>
      <c r="C277" s="171">
        <f>(9.37+4.5)*2*3.6</f>
        <v>99.86399999999999</v>
      </c>
      <c r="D277" s="172"/>
      <c r="E277" s="173"/>
      <c r="F277" s="173"/>
      <c r="G277" s="117"/>
    </row>
    <row r="278" spans="1:7" ht="12">
      <c r="A278" s="113"/>
      <c r="B278" s="112"/>
      <c r="C278" s="171">
        <f>(1.35+0.645+0.9+1.205+2.3)*3.6</f>
        <v>23.04</v>
      </c>
      <c r="D278" s="172"/>
      <c r="E278" s="173"/>
      <c r="F278" s="173"/>
      <c r="G278" s="117"/>
    </row>
    <row r="279" spans="1:7" ht="12">
      <c r="A279" s="113"/>
      <c r="B279" s="112"/>
      <c r="C279" s="171">
        <f>(3.5+1.81)*2*3.6</f>
        <v>38.232000000000006</v>
      </c>
      <c r="D279" s="172"/>
      <c r="E279" s="173"/>
      <c r="F279" s="173"/>
      <c r="G279" s="117"/>
    </row>
    <row r="280" spans="1:7" ht="12">
      <c r="A280" s="113"/>
      <c r="B280" s="112"/>
      <c r="C280" s="171">
        <f>(2.6+0.815)*2*3.6</f>
        <v>24.588</v>
      </c>
      <c r="D280" s="172"/>
      <c r="E280" s="173"/>
      <c r="F280" s="173"/>
      <c r="G280" s="117"/>
    </row>
    <row r="281" spans="1:7" ht="12">
      <c r="A281" s="113"/>
      <c r="B281" s="112" t="s">
        <v>197</v>
      </c>
      <c r="C281" s="171">
        <f>(6.65+2.57)*2*3.4</f>
        <v>62.696000000000005</v>
      </c>
      <c r="D281" s="172"/>
      <c r="E281" s="173"/>
      <c r="F281" s="173"/>
      <c r="G281" s="117"/>
    </row>
    <row r="282" spans="1:7" ht="12">
      <c r="A282" s="113"/>
      <c r="B282" s="112"/>
      <c r="C282" s="171">
        <f>(6.4+3.5)*2*3.4</f>
        <v>67.32000000000001</v>
      </c>
      <c r="D282" s="172"/>
      <c r="E282" s="173"/>
      <c r="F282" s="173"/>
      <c r="G282" s="117"/>
    </row>
    <row r="283" spans="1:7" ht="12">
      <c r="A283" s="113"/>
      <c r="B283" s="112" t="s">
        <v>198</v>
      </c>
      <c r="C283" s="171">
        <f>(10.2+2.54)*2*3.4</f>
        <v>86.63199999999999</v>
      </c>
      <c r="D283" s="172"/>
      <c r="E283" s="173"/>
      <c r="F283" s="173"/>
      <c r="G283" s="117"/>
    </row>
    <row r="284" spans="1:7" ht="12">
      <c r="A284" s="113"/>
      <c r="B284" s="112"/>
      <c r="C284" s="171">
        <f>(1.89+1.1)*2*3.4</f>
        <v>20.332</v>
      </c>
      <c r="D284" s="172"/>
      <c r="E284" s="173"/>
      <c r="F284" s="173"/>
      <c r="G284" s="117"/>
    </row>
    <row r="285" spans="1:7" ht="12">
      <c r="A285" s="113"/>
      <c r="B285" s="112" t="s">
        <v>238</v>
      </c>
      <c r="C285" s="171">
        <f>(5.88+4.86)*2*3.4</f>
        <v>73.032</v>
      </c>
      <c r="D285" s="172"/>
      <c r="E285" s="173"/>
      <c r="F285" s="173"/>
      <c r="G285" s="117"/>
    </row>
    <row r="286" spans="1:7" ht="12">
      <c r="A286" s="113"/>
      <c r="B286" s="112" t="s">
        <v>262</v>
      </c>
      <c r="C286" s="171">
        <f>(3.2+5.88)*2*3.4</f>
        <v>61.744</v>
      </c>
      <c r="D286" s="172"/>
      <c r="E286" s="173"/>
      <c r="F286" s="173"/>
      <c r="G286" s="117"/>
    </row>
    <row r="287" spans="1:7" ht="12">
      <c r="A287" s="113"/>
      <c r="B287" s="112" t="s">
        <v>199</v>
      </c>
      <c r="C287" s="171">
        <f>(5.89+4.12)*2*3.4+(2.94*3.4)</f>
        <v>78.064</v>
      </c>
      <c r="D287" s="172"/>
      <c r="E287" s="173"/>
      <c r="F287" s="173"/>
      <c r="G287" s="117"/>
    </row>
    <row r="288" spans="1:7" ht="12">
      <c r="A288" s="113"/>
      <c r="B288" s="112" t="s">
        <v>263</v>
      </c>
      <c r="C288" s="171">
        <f>(4.5+2.48)*2*3.4</f>
        <v>47.464</v>
      </c>
      <c r="D288" s="172"/>
      <c r="E288" s="173"/>
      <c r="F288" s="173"/>
      <c r="G288" s="117"/>
    </row>
    <row r="289" spans="1:7" ht="12">
      <c r="A289" s="113"/>
      <c r="B289" s="112" t="s">
        <v>217</v>
      </c>
      <c r="C289" s="171">
        <f>(5.3+3.2)*2*3.4+(2.3+0.89)*2*3.4</f>
        <v>79.49199999999999</v>
      </c>
      <c r="D289" s="172"/>
      <c r="E289" s="173"/>
      <c r="F289" s="173"/>
      <c r="G289" s="117"/>
    </row>
    <row r="290" spans="1:7" ht="12">
      <c r="A290" s="113"/>
      <c r="B290" s="112" t="s">
        <v>264</v>
      </c>
      <c r="C290" s="171">
        <f>(5.865+3.37)*2*3.4</f>
        <v>62.797999999999995</v>
      </c>
      <c r="D290" s="172"/>
      <c r="E290" s="173"/>
      <c r="F290" s="173"/>
      <c r="G290" s="117"/>
    </row>
    <row r="291" spans="1:7" ht="12">
      <c r="A291" s="113"/>
      <c r="B291" s="112" t="s">
        <v>239</v>
      </c>
      <c r="C291" s="171">
        <f>(4.9+4.37)*2*3.4</f>
        <v>63.035999999999994</v>
      </c>
      <c r="D291" s="172"/>
      <c r="E291" s="173"/>
      <c r="F291" s="173"/>
      <c r="G291" s="117"/>
    </row>
    <row r="292" spans="1:7" ht="12">
      <c r="A292" s="113"/>
      <c r="B292" s="112" t="s">
        <v>119</v>
      </c>
      <c r="C292" s="171">
        <f>(1.9+1.83)*2*1.3</f>
        <v>9.698</v>
      </c>
      <c r="D292" s="172"/>
      <c r="E292" s="173"/>
      <c r="F292" s="173"/>
      <c r="G292" s="117"/>
    </row>
    <row r="293" spans="1:7" ht="12">
      <c r="A293" s="113"/>
      <c r="B293" s="112"/>
      <c r="C293" s="171">
        <f>(1.71+1.27)*2*1.3</f>
        <v>7.748</v>
      </c>
      <c r="D293" s="172"/>
      <c r="E293" s="173"/>
      <c r="F293" s="173"/>
      <c r="G293" s="117"/>
    </row>
    <row r="294" spans="1:7" ht="12">
      <c r="A294" s="113"/>
      <c r="B294" s="112" t="s">
        <v>120</v>
      </c>
      <c r="C294" s="171">
        <f>(1.95+2.97)*2*1.3</f>
        <v>12.792</v>
      </c>
      <c r="D294" s="172"/>
      <c r="E294" s="173"/>
      <c r="F294" s="173"/>
      <c r="G294" s="117"/>
    </row>
    <row r="295" spans="1:7" ht="12">
      <c r="A295" s="113"/>
      <c r="B295" s="112" t="s">
        <v>218</v>
      </c>
      <c r="C295" s="171">
        <f>(4.95+4.595)*2*3.4</f>
        <v>64.90599999999999</v>
      </c>
      <c r="D295" s="172"/>
      <c r="E295" s="173"/>
      <c r="F295" s="173"/>
      <c r="G295" s="117"/>
    </row>
    <row r="296" spans="1:7" ht="12">
      <c r="A296" s="113"/>
      <c r="B296" s="112" t="s">
        <v>121</v>
      </c>
      <c r="C296" s="171">
        <f>(3.6+1.2)*2*1.3</f>
        <v>12.48</v>
      </c>
      <c r="D296" s="172"/>
      <c r="E296" s="173"/>
      <c r="F296" s="173"/>
      <c r="G296" s="117"/>
    </row>
    <row r="297" spans="1:7" ht="12">
      <c r="A297" s="113"/>
      <c r="B297" s="112" t="s">
        <v>219</v>
      </c>
      <c r="C297" s="171">
        <f>(1.2+1.89)*2*1.3</f>
        <v>8.034</v>
      </c>
      <c r="D297" s="172"/>
      <c r="E297" s="173"/>
      <c r="F297" s="173"/>
      <c r="G297" s="117"/>
    </row>
    <row r="298" spans="1:7" ht="12">
      <c r="A298" s="113"/>
      <c r="B298" s="112" t="s">
        <v>265</v>
      </c>
      <c r="C298" s="171">
        <f>(1.65+0.89)*2*1.9</f>
        <v>9.652</v>
      </c>
      <c r="D298" s="172"/>
      <c r="E298" s="173"/>
      <c r="F298" s="173"/>
      <c r="G298" s="117"/>
    </row>
    <row r="299" spans="1:7" ht="12">
      <c r="A299" s="113"/>
      <c r="B299" s="112" t="s">
        <v>220</v>
      </c>
      <c r="C299" s="171">
        <f>(2.4+1.86)*2*1.3</f>
        <v>11.076</v>
      </c>
      <c r="D299" s="172"/>
      <c r="E299" s="173"/>
      <c r="F299" s="173"/>
      <c r="G299" s="117"/>
    </row>
    <row r="300" spans="1:7" ht="12">
      <c r="A300" s="113"/>
      <c r="B300" s="112" t="s">
        <v>266</v>
      </c>
      <c r="C300" s="171">
        <f>(2.86+2.97)*2*3.65</f>
        <v>42.559</v>
      </c>
      <c r="D300" s="172"/>
      <c r="E300" s="173"/>
      <c r="F300" s="173"/>
      <c r="G300" s="117"/>
    </row>
    <row r="301" spans="1:7" ht="12">
      <c r="A301" s="113"/>
      <c r="B301" s="112" t="s">
        <v>159</v>
      </c>
      <c r="C301" s="171">
        <f>(3.09+4.3)*2*3.4</f>
        <v>50.251999999999995</v>
      </c>
      <c r="D301" s="172"/>
      <c r="E301" s="173"/>
      <c r="F301" s="173"/>
      <c r="G301" s="117"/>
    </row>
    <row r="302" spans="1:7" ht="12">
      <c r="A302" s="113"/>
      <c r="B302" s="112" t="s">
        <v>201</v>
      </c>
      <c r="C302" s="171">
        <f>(10.67+6.95)*2*3.5</f>
        <v>123.34</v>
      </c>
      <c r="D302" s="172"/>
      <c r="E302" s="173"/>
      <c r="F302" s="173"/>
      <c r="G302" s="117"/>
    </row>
    <row r="303" spans="1:7" ht="12">
      <c r="A303" s="113"/>
      <c r="B303" s="112" t="s">
        <v>221</v>
      </c>
      <c r="C303" s="171">
        <f>(1.71+1.5)*2*3.4</f>
        <v>21.828</v>
      </c>
      <c r="D303" s="172"/>
      <c r="E303" s="173"/>
      <c r="F303" s="173"/>
      <c r="G303" s="117"/>
    </row>
    <row r="304" spans="1:7" ht="12">
      <c r="A304" s="113"/>
      <c r="B304" s="112" t="s">
        <v>267</v>
      </c>
      <c r="C304" s="171">
        <f>(1.25+1)*2*3.65</f>
        <v>16.425</v>
      </c>
      <c r="D304" s="172"/>
      <c r="E304" s="173"/>
      <c r="F304" s="173"/>
      <c r="G304" s="117"/>
    </row>
    <row r="305" spans="1:7" ht="12">
      <c r="A305" s="113"/>
      <c r="B305" s="112" t="s">
        <v>268</v>
      </c>
      <c r="C305" s="171">
        <f>(0.75+0.905)*2*3.6</f>
        <v>11.916</v>
      </c>
      <c r="D305" s="172"/>
      <c r="E305" s="173"/>
      <c r="F305" s="173"/>
      <c r="G305" s="117"/>
    </row>
    <row r="306" spans="1:9" s="108" customFormat="1" ht="12">
      <c r="A306" s="113"/>
      <c r="B306" s="112" t="s">
        <v>122</v>
      </c>
      <c r="C306" s="171">
        <f>(6.06+1.8)*2*2.6</f>
        <v>40.872</v>
      </c>
      <c r="D306" s="172"/>
      <c r="E306" s="173"/>
      <c r="F306" s="173"/>
      <c r="G306" s="117"/>
      <c r="H306" s="151"/>
      <c r="I306" s="107"/>
    </row>
    <row r="307" spans="1:9" s="108" customFormat="1" ht="12">
      <c r="A307" s="101"/>
      <c r="B307" s="106" t="s">
        <v>222</v>
      </c>
      <c r="C307" s="105">
        <f>(18.47+12.96)*2*2.6</f>
        <v>163.436</v>
      </c>
      <c r="D307" s="104"/>
      <c r="E307" s="199"/>
      <c r="F307" s="145"/>
      <c r="G307" s="200"/>
      <c r="H307" s="151"/>
      <c r="I307" s="107"/>
    </row>
    <row r="308" spans="1:9" s="108" customFormat="1" ht="12">
      <c r="A308" s="101"/>
      <c r="B308" s="101"/>
      <c r="C308" s="105">
        <f>(3.72+1.65)*2*2.6</f>
        <v>27.923999999999996</v>
      </c>
      <c r="D308" s="104"/>
      <c r="E308" s="199"/>
      <c r="F308" s="145"/>
      <c r="G308" s="200"/>
      <c r="H308" s="151"/>
      <c r="I308" s="107"/>
    </row>
    <row r="309" spans="1:9" s="108" customFormat="1" ht="12">
      <c r="A309" s="101"/>
      <c r="B309" s="101"/>
      <c r="C309" s="105">
        <f>(4.595+1.6)*2*2.6</f>
        <v>32.214000000000006</v>
      </c>
      <c r="D309" s="104"/>
      <c r="E309" s="199"/>
      <c r="F309" s="145"/>
      <c r="G309" s="200"/>
      <c r="H309" s="151"/>
      <c r="I309" s="107"/>
    </row>
    <row r="310" spans="1:7" ht="12">
      <c r="A310" s="101"/>
      <c r="B310" s="101"/>
      <c r="C310" s="105">
        <f>(1.8+1)*2*2.6+(1.02+1.055)*2.6</f>
        <v>19.955</v>
      </c>
      <c r="D310" s="104"/>
      <c r="E310" s="199"/>
      <c r="F310" s="145"/>
      <c r="G310" s="200"/>
    </row>
    <row r="311" spans="1:7" ht="12">
      <c r="A311" s="113"/>
      <c r="B311" s="112" t="s">
        <v>223</v>
      </c>
      <c r="C311" s="171">
        <f>(8.18+4.545)*2*3.6+(6.35*3.6)</f>
        <v>114.48</v>
      </c>
      <c r="D311" s="172"/>
      <c r="E311" s="173"/>
      <c r="F311" s="173"/>
      <c r="G311" s="117"/>
    </row>
    <row r="312" spans="1:7" ht="12">
      <c r="A312" s="113"/>
      <c r="B312" s="112" t="s">
        <v>269</v>
      </c>
      <c r="C312" s="171">
        <f>(4.3+4.57)*2*2.6+(1.8+1.2)*2*2.6</f>
        <v>61.72400000000001</v>
      </c>
      <c r="D312" s="172"/>
      <c r="E312" s="173"/>
      <c r="F312" s="173"/>
      <c r="G312" s="117"/>
    </row>
    <row r="313" spans="1:7" ht="12">
      <c r="A313" s="113"/>
      <c r="B313" s="112" t="s">
        <v>270</v>
      </c>
      <c r="C313" s="171">
        <f>(4.62+6.47)*2*2.6</f>
        <v>57.668</v>
      </c>
      <c r="D313" s="172"/>
      <c r="E313" s="173"/>
      <c r="F313" s="173"/>
      <c r="G313" s="117"/>
    </row>
    <row r="314" spans="1:7" ht="12">
      <c r="A314" s="113"/>
      <c r="B314" s="112" t="s">
        <v>271</v>
      </c>
      <c r="C314" s="171">
        <f>(4.37+4.57)*2*2.6+(1.75+1.2)*2*2.6</f>
        <v>61.82800000000001</v>
      </c>
      <c r="D314" s="172"/>
      <c r="E314" s="173"/>
      <c r="F314" s="173"/>
      <c r="G314" s="117"/>
    </row>
    <row r="315" spans="1:7" ht="12">
      <c r="A315" s="113"/>
      <c r="B315" s="112" t="s">
        <v>272</v>
      </c>
      <c r="C315" s="171">
        <f>(6.47+4.725)*2*2.6</f>
        <v>58.214000000000006</v>
      </c>
      <c r="D315" s="172"/>
      <c r="E315" s="173"/>
      <c r="F315" s="173"/>
      <c r="G315" s="117"/>
    </row>
    <row r="316" spans="1:7" ht="12">
      <c r="A316" s="113"/>
      <c r="B316" s="112" t="s">
        <v>273</v>
      </c>
      <c r="C316" s="171">
        <f>(4.555+4.515)*2*2.6</f>
        <v>47.164</v>
      </c>
      <c r="D316" s="172"/>
      <c r="E316" s="173"/>
      <c r="F316" s="173"/>
      <c r="G316" s="117"/>
    </row>
    <row r="317" spans="1:7" ht="12">
      <c r="A317" s="113"/>
      <c r="B317" s="112" t="s">
        <v>274</v>
      </c>
      <c r="C317" s="171">
        <f>(4.33+4.465)*2*2.6+(2.025+1.2)*2*2.6</f>
        <v>62.504000000000005</v>
      </c>
      <c r="D317" s="172"/>
      <c r="E317" s="173"/>
      <c r="F317" s="173"/>
      <c r="G317" s="117"/>
    </row>
    <row r="318" spans="1:7" ht="12">
      <c r="A318" s="113"/>
      <c r="B318" s="112" t="s">
        <v>202</v>
      </c>
      <c r="C318" s="171">
        <f>(4.45+5.822)*2*2.71+(1*4+0.1*2)*2.71</f>
        <v>67.05624</v>
      </c>
      <c r="D318" s="172"/>
      <c r="E318" s="173"/>
      <c r="F318" s="173"/>
      <c r="G318" s="117"/>
    </row>
    <row r="319" spans="1:7" ht="12">
      <c r="A319" s="113"/>
      <c r="B319" s="112" t="s">
        <v>224</v>
      </c>
      <c r="C319" s="171">
        <f>(4.42+3.37)*2*3.14</f>
        <v>48.9212</v>
      </c>
      <c r="D319" s="172"/>
      <c r="E319" s="173"/>
      <c r="F319" s="173"/>
      <c r="G319" s="117"/>
    </row>
    <row r="320" spans="1:7" ht="12">
      <c r="A320" s="113"/>
      <c r="B320" s="112" t="s">
        <v>275</v>
      </c>
      <c r="C320" s="171">
        <f>(1.74+1.75)*2*0.5</f>
        <v>3.49</v>
      </c>
      <c r="D320" s="172"/>
      <c r="E320" s="173"/>
      <c r="F320" s="173"/>
      <c r="G320" s="117"/>
    </row>
    <row r="321" spans="1:7" ht="12">
      <c r="A321" s="113"/>
      <c r="B321" s="112" t="s">
        <v>133</v>
      </c>
      <c r="C321" s="171">
        <f>(1.93+1.6)*2*0.5</f>
        <v>3.5300000000000002</v>
      </c>
      <c r="D321" s="172"/>
      <c r="E321" s="173"/>
      <c r="F321" s="173"/>
      <c r="G321" s="117"/>
    </row>
    <row r="322" spans="1:7" ht="12">
      <c r="A322" s="113"/>
      <c r="B322" s="112" t="s">
        <v>134</v>
      </c>
      <c r="C322" s="171">
        <f>(2.11+1.6)*2*0.5</f>
        <v>3.71</v>
      </c>
      <c r="D322" s="172"/>
      <c r="E322" s="173"/>
      <c r="F322" s="173"/>
      <c r="G322" s="117"/>
    </row>
    <row r="323" spans="1:7" ht="12">
      <c r="A323" s="113"/>
      <c r="B323" s="112" t="s">
        <v>135</v>
      </c>
      <c r="C323" s="171">
        <f>(1.9+1.6)*2*0.5</f>
        <v>3.5</v>
      </c>
      <c r="D323" s="172"/>
      <c r="E323" s="173"/>
      <c r="F323" s="173"/>
      <c r="G323" s="117"/>
    </row>
    <row r="324" spans="1:7" ht="12">
      <c r="A324" s="113"/>
      <c r="B324" s="112" t="s">
        <v>232</v>
      </c>
      <c r="C324" s="171">
        <f>(2.025+2.025)*2*0.5</f>
        <v>4.05</v>
      </c>
      <c r="D324" s="172"/>
      <c r="E324" s="173"/>
      <c r="F324" s="173"/>
      <c r="G324" s="117"/>
    </row>
    <row r="325" spans="1:7" ht="12">
      <c r="A325" s="113"/>
      <c r="B325" s="112" t="s">
        <v>276</v>
      </c>
      <c r="C325" s="171">
        <f>(1.29+1.8)*2*0.5</f>
        <v>3.09</v>
      </c>
      <c r="D325" s="172"/>
      <c r="E325" s="173"/>
      <c r="F325" s="173"/>
      <c r="G325" s="117"/>
    </row>
    <row r="326" spans="1:7" ht="12">
      <c r="A326" s="113"/>
      <c r="B326" s="112" t="s">
        <v>277</v>
      </c>
      <c r="C326" s="171">
        <f>(1.75+2.555)*2*2.6</f>
        <v>22.386</v>
      </c>
      <c r="D326" s="172"/>
      <c r="E326" s="173"/>
      <c r="F326" s="173"/>
      <c r="G326" s="117"/>
    </row>
    <row r="327" spans="1:7" ht="12">
      <c r="A327" s="113"/>
      <c r="B327" s="112" t="s">
        <v>225</v>
      </c>
      <c r="C327" s="171">
        <f>(2.2+1.85)*2*0.5</f>
        <v>4.050000000000001</v>
      </c>
      <c r="D327" s="172"/>
      <c r="E327" s="173"/>
      <c r="F327" s="173"/>
      <c r="G327" s="117"/>
    </row>
    <row r="328" spans="1:9" s="170" customFormat="1" ht="12">
      <c r="A328" s="113"/>
      <c r="B328" s="112" t="s">
        <v>278</v>
      </c>
      <c r="C328" s="171">
        <f>(3.305+3.3)*2*1.04</f>
        <v>13.738400000000002</v>
      </c>
      <c r="D328" s="172"/>
      <c r="E328" s="173"/>
      <c r="F328" s="173"/>
      <c r="G328" s="117"/>
      <c r="H328" s="169"/>
      <c r="I328" s="169"/>
    </row>
    <row r="329" spans="1:7" ht="12">
      <c r="A329" s="165"/>
      <c r="B329" s="153" t="s">
        <v>226</v>
      </c>
      <c r="C329" s="154">
        <f>(1.4+0.9)*2*0.5</f>
        <v>2.3</v>
      </c>
      <c r="D329" s="166"/>
      <c r="E329" s="167"/>
      <c r="F329" s="167"/>
      <c r="G329" s="168"/>
    </row>
    <row r="330" spans="1:7" ht="12">
      <c r="A330" s="113"/>
      <c r="B330" s="112" t="s">
        <v>227</v>
      </c>
      <c r="C330" s="171">
        <f>(1.4+0.9)*2*0.5</f>
        <v>2.3</v>
      </c>
      <c r="D330" s="172"/>
      <c r="E330" s="173"/>
      <c r="F330" s="173"/>
      <c r="G330" s="117"/>
    </row>
    <row r="331" spans="1:7" ht="12">
      <c r="A331" s="113"/>
      <c r="B331" s="112" t="s">
        <v>279</v>
      </c>
      <c r="C331" s="171">
        <f>(2.47+2.245)*2*2.71</f>
        <v>25.5553</v>
      </c>
      <c r="D331" s="172"/>
      <c r="E331" s="173"/>
      <c r="F331" s="173"/>
      <c r="G331" s="117"/>
    </row>
    <row r="332" spans="1:7" ht="12">
      <c r="A332" s="113"/>
      <c r="B332" s="112" t="s">
        <v>280</v>
      </c>
      <c r="C332" s="171">
        <f>(0.905+0.75)*2*2.6</f>
        <v>8.606</v>
      </c>
      <c r="D332" s="172"/>
      <c r="E332" s="173"/>
      <c r="F332" s="173"/>
      <c r="G332" s="117"/>
    </row>
    <row r="333" spans="1:7" ht="12">
      <c r="A333" s="113"/>
      <c r="B333" s="112"/>
      <c r="C333" s="171">
        <f>SUM(C250:C332)</f>
        <v>3190.760340000001</v>
      </c>
      <c r="D333" s="172"/>
      <c r="E333" s="173"/>
      <c r="F333" s="173"/>
      <c r="G333" s="117"/>
    </row>
    <row r="334" spans="1:9" s="159" customFormat="1" ht="12">
      <c r="A334" s="152" t="s">
        <v>281</v>
      </c>
      <c r="B334" s="201" t="s">
        <v>250</v>
      </c>
      <c r="C334" s="161" t="s">
        <v>282</v>
      </c>
      <c r="D334" s="202" t="s">
        <v>93</v>
      </c>
      <c r="E334" s="203">
        <v>122.6</v>
      </c>
      <c r="F334" s="204">
        <v>0</v>
      </c>
      <c r="G334" s="203">
        <f>E334*F334</f>
        <v>0</v>
      </c>
      <c r="H334" s="158"/>
      <c r="I334" s="158"/>
    </row>
    <row r="335" spans="1:9" s="108" customFormat="1" ht="12">
      <c r="A335" s="101"/>
      <c r="B335" s="109"/>
      <c r="C335" s="148">
        <f>(8.21+3.2)*2*5.3-30.34</f>
        <v>90.606</v>
      </c>
      <c r="D335" s="148"/>
      <c r="E335" s="149"/>
      <c r="F335" s="149"/>
      <c r="G335" s="111"/>
      <c r="H335" s="107"/>
      <c r="I335" s="107"/>
    </row>
    <row r="336" spans="1:9" s="108" customFormat="1" ht="12">
      <c r="A336" s="101"/>
      <c r="B336" s="109"/>
      <c r="C336" s="148">
        <f>(1.3*5)*4+(5*0.3*4)</f>
        <v>32</v>
      </c>
      <c r="D336" s="148"/>
      <c r="E336" s="149"/>
      <c r="F336" s="149"/>
      <c r="G336" s="111"/>
      <c r="H336" s="107"/>
      <c r="I336" s="107"/>
    </row>
    <row r="337" spans="1:9" s="108" customFormat="1" ht="12">
      <c r="A337" s="101"/>
      <c r="B337" s="205"/>
      <c r="C337" s="148">
        <f>SUM(C335:C336)</f>
        <v>122.606</v>
      </c>
      <c r="D337" s="148"/>
      <c r="E337" s="149"/>
      <c r="F337" s="149"/>
      <c r="G337" s="111"/>
      <c r="H337" s="107"/>
      <c r="I337" s="107"/>
    </row>
    <row r="338" spans="1:9" s="108" customFormat="1" ht="12">
      <c r="A338" s="101" t="s">
        <v>283</v>
      </c>
      <c r="B338" s="101" t="s">
        <v>284</v>
      </c>
      <c r="C338" s="105" t="s">
        <v>285</v>
      </c>
      <c r="D338" s="104" t="s">
        <v>93</v>
      </c>
      <c r="E338" s="199">
        <v>86.46</v>
      </c>
      <c r="F338" s="145">
        <v>0</v>
      </c>
      <c r="G338" s="200">
        <f>E338*F338</f>
        <v>0</v>
      </c>
      <c r="H338" s="151"/>
      <c r="I338" s="107"/>
    </row>
    <row r="339" spans="1:9" s="108" customFormat="1" ht="12">
      <c r="A339" s="101"/>
      <c r="B339" s="112" t="s">
        <v>116</v>
      </c>
      <c r="C339" s="105">
        <f>(2.3*2.1)+(0.9*2)</f>
        <v>6.63</v>
      </c>
      <c r="D339" s="104"/>
      <c r="E339" s="110"/>
      <c r="F339" s="110"/>
      <c r="G339" s="111"/>
      <c r="H339" s="107"/>
      <c r="I339" s="107"/>
    </row>
    <row r="340" spans="1:9" s="108" customFormat="1" ht="12">
      <c r="A340" s="101"/>
      <c r="B340" s="112" t="s">
        <v>117</v>
      </c>
      <c r="C340" s="105">
        <f>(1.05*2.02)</f>
        <v>2.121</v>
      </c>
      <c r="D340" s="104"/>
      <c r="E340" s="110"/>
      <c r="F340" s="110"/>
      <c r="G340" s="111"/>
      <c r="H340" s="107"/>
      <c r="I340" s="107"/>
    </row>
    <row r="341" spans="1:9" s="108" customFormat="1" ht="12">
      <c r="A341" s="101"/>
      <c r="B341" s="112" t="s">
        <v>118</v>
      </c>
      <c r="C341" s="105">
        <f>(1*2.1)</f>
        <v>2.1</v>
      </c>
      <c r="D341" s="104"/>
      <c r="E341" s="110"/>
      <c r="F341" s="110"/>
      <c r="G341" s="111"/>
      <c r="H341" s="107"/>
      <c r="I341" s="107"/>
    </row>
    <row r="342" spans="1:9" s="108" customFormat="1" ht="12">
      <c r="A342" s="101"/>
      <c r="B342" s="112" t="s">
        <v>119</v>
      </c>
      <c r="C342" s="105">
        <f>0.9*2</f>
        <v>1.8</v>
      </c>
      <c r="D342" s="104"/>
      <c r="E342" s="110"/>
      <c r="F342" s="110"/>
      <c r="G342" s="111"/>
      <c r="H342" s="107"/>
      <c r="I342" s="107"/>
    </row>
    <row r="343" spans="1:9" s="108" customFormat="1" ht="12">
      <c r="A343" s="101"/>
      <c r="B343" s="112" t="s">
        <v>120</v>
      </c>
      <c r="C343" s="105">
        <f>0.9*2</f>
        <v>1.8</v>
      </c>
      <c r="D343" s="104"/>
      <c r="E343" s="110"/>
      <c r="F343" s="110"/>
      <c r="G343" s="111"/>
      <c r="H343" s="107"/>
      <c r="I343" s="107"/>
    </row>
    <row r="344" spans="1:9" s="108" customFormat="1" ht="12">
      <c r="A344" s="101"/>
      <c r="B344" s="112" t="s">
        <v>121</v>
      </c>
      <c r="C344" s="105">
        <f>0.9*2</f>
        <v>1.8</v>
      </c>
      <c r="D344" s="104"/>
      <c r="E344" s="110"/>
      <c r="F344" s="110"/>
      <c r="G344" s="111"/>
      <c r="H344" s="107"/>
      <c r="I344" s="107"/>
    </row>
    <row r="345" spans="1:9" s="108" customFormat="1" ht="12">
      <c r="A345" s="101"/>
      <c r="B345" s="112" t="s">
        <v>122</v>
      </c>
      <c r="C345" s="105">
        <f>1*2.1</f>
        <v>2.1</v>
      </c>
      <c r="D345" s="104"/>
      <c r="E345" s="110"/>
      <c r="F345" s="110"/>
      <c r="G345" s="111"/>
      <c r="H345" s="107"/>
      <c r="I345" s="107"/>
    </row>
    <row r="346" spans="1:9" s="108" customFormat="1" ht="12">
      <c r="A346" s="101"/>
      <c r="B346" s="112" t="s">
        <v>126</v>
      </c>
      <c r="C346" s="105">
        <f>(2.2+2.45)*2.91-(0.8*1.97)</f>
        <v>11.9555</v>
      </c>
      <c r="D346" s="104"/>
      <c r="E346" s="110"/>
      <c r="F346" s="110"/>
      <c r="G346" s="111"/>
      <c r="H346" s="107"/>
      <c r="I346" s="107"/>
    </row>
    <row r="347" spans="1:9" s="108" customFormat="1" ht="12">
      <c r="A347" s="101"/>
      <c r="B347" s="112" t="s">
        <v>127</v>
      </c>
      <c r="C347" s="105">
        <f>(2+2.2)*2.91-(0.9*1.97)</f>
        <v>10.449000000000002</v>
      </c>
      <c r="D347" s="104"/>
      <c r="E347" s="110"/>
      <c r="F347" s="110"/>
      <c r="G347" s="111"/>
      <c r="H347" s="107"/>
      <c r="I347" s="107"/>
    </row>
    <row r="348" spans="1:9" s="108" customFormat="1" ht="12">
      <c r="A348" s="101"/>
      <c r="B348" s="112" t="s">
        <v>128</v>
      </c>
      <c r="C348" s="105">
        <f>(1.325*2.91)-(0.7*1.97)</f>
        <v>2.47675</v>
      </c>
      <c r="D348" s="104"/>
      <c r="E348" s="110"/>
      <c r="F348" s="110"/>
      <c r="G348" s="111"/>
      <c r="H348" s="107"/>
      <c r="I348" s="107"/>
    </row>
    <row r="349" spans="1:7" ht="12">
      <c r="A349" s="118"/>
      <c r="B349" s="206"/>
      <c r="C349" s="120">
        <f>SUM(C339:C348)*2</f>
        <v>86.46450000000002</v>
      </c>
      <c r="D349" s="121"/>
      <c r="E349" s="122"/>
      <c r="F349" s="122"/>
      <c r="G349" s="123"/>
    </row>
    <row r="350" spans="1:9" s="108" customFormat="1" ht="12">
      <c r="A350" s="644"/>
      <c r="B350" s="645"/>
      <c r="C350" s="646" t="s">
        <v>160</v>
      </c>
      <c r="D350" s="647"/>
      <c r="E350" s="648"/>
      <c r="F350" s="648"/>
      <c r="G350" s="649">
        <f>SUM(G59:G349)</f>
        <v>0</v>
      </c>
      <c r="H350" s="107"/>
      <c r="I350" s="107"/>
    </row>
    <row r="351" spans="1:9" s="108" customFormat="1" ht="12">
      <c r="A351" s="402"/>
      <c r="B351" s="496">
        <v>62</v>
      </c>
      <c r="C351" s="501" t="s">
        <v>17</v>
      </c>
      <c r="D351" s="501"/>
      <c r="E351" s="502"/>
      <c r="F351" s="502"/>
      <c r="G351" s="503"/>
      <c r="H351" s="107"/>
      <c r="I351" s="107"/>
    </row>
    <row r="352" spans="1:9" s="108" customFormat="1" ht="12">
      <c r="A352" s="402" t="s">
        <v>286</v>
      </c>
      <c r="B352" s="403" t="s">
        <v>287</v>
      </c>
      <c r="C352" s="404" t="s">
        <v>288</v>
      </c>
      <c r="D352" s="404" t="s">
        <v>93</v>
      </c>
      <c r="E352" s="523">
        <v>5.7</v>
      </c>
      <c r="F352" s="405">
        <v>0</v>
      </c>
      <c r="G352" s="406">
        <f>E352*F352</f>
        <v>0</v>
      </c>
      <c r="H352" s="107"/>
      <c r="I352" s="107"/>
    </row>
    <row r="353" spans="1:9" s="108" customFormat="1" ht="12">
      <c r="A353" s="490"/>
      <c r="B353" s="650" t="s">
        <v>289</v>
      </c>
      <c r="C353" s="383" t="s">
        <v>290</v>
      </c>
      <c r="D353" s="383"/>
      <c r="E353" s="427"/>
      <c r="F353" s="427"/>
      <c r="G353" s="428"/>
      <c r="H353" s="107"/>
      <c r="I353" s="107"/>
    </row>
    <row r="354" spans="1:9" s="108" customFormat="1" ht="12">
      <c r="A354" s="101"/>
      <c r="B354" s="112" t="s">
        <v>291</v>
      </c>
      <c r="C354" s="148" t="s">
        <v>292</v>
      </c>
      <c r="D354" s="148"/>
      <c r="E354" s="149"/>
      <c r="F354" s="149"/>
      <c r="G354" s="111"/>
      <c r="H354" s="107"/>
      <c r="I354" s="107"/>
    </row>
    <row r="355" spans="1:9" s="108" customFormat="1" ht="12">
      <c r="A355" s="423"/>
      <c r="B355" s="424" t="s">
        <v>293</v>
      </c>
      <c r="C355" s="187" t="s">
        <v>294</v>
      </c>
      <c r="D355" s="187"/>
      <c r="E355" s="188"/>
      <c r="F355" s="188"/>
      <c r="G355" s="227"/>
      <c r="H355" s="107"/>
      <c r="I355" s="107"/>
    </row>
    <row r="356" spans="1:9" s="108" customFormat="1" ht="12">
      <c r="A356" s="402"/>
      <c r="B356" s="425" t="s">
        <v>295</v>
      </c>
      <c r="C356" s="404" t="s">
        <v>294</v>
      </c>
      <c r="D356" s="404"/>
      <c r="E356" s="405"/>
      <c r="F356" s="405"/>
      <c r="G356" s="406"/>
      <c r="H356" s="107"/>
      <c r="I356" s="107"/>
    </row>
    <row r="357" spans="1:9" s="108" customFormat="1" ht="12">
      <c r="A357" s="402" t="s">
        <v>296</v>
      </c>
      <c r="B357" s="403" t="s">
        <v>297</v>
      </c>
      <c r="C357" s="404" t="s">
        <v>298</v>
      </c>
      <c r="D357" s="404" t="s">
        <v>93</v>
      </c>
      <c r="E357" s="405">
        <v>48</v>
      </c>
      <c r="F357" s="405">
        <v>0</v>
      </c>
      <c r="G357" s="406">
        <f>E357*F357</f>
        <v>0</v>
      </c>
      <c r="H357" s="107"/>
      <c r="I357" s="107"/>
    </row>
    <row r="358" spans="1:9" s="108" customFormat="1" ht="12">
      <c r="A358" s="401"/>
      <c r="B358" s="212"/>
      <c r="C358" s="213">
        <f>8*1.5*4</f>
        <v>48</v>
      </c>
      <c r="D358" s="213"/>
      <c r="E358" s="370"/>
      <c r="F358" s="370"/>
      <c r="G358" s="371"/>
      <c r="H358" s="107"/>
      <c r="I358" s="107"/>
    </row>
    <row r="359" spans="1:9" s="108" customFormat="1" ht="12">
      <c r="A359" s="644"/>
      <c r="B359" s="645"/>
      <c r="C359" s="646" t="s">
        <v>160</v>
      </c>
      <c r="D359" s="647"/>
      <c r="E359" s="648"/>
      <c r="F359" s="648"/>
      <c r="G359" s="649">
        <f>SUM(G352:G358)</f>
        <v>0</v>
      </c>
      <c r="H359" s="107"/>
      <c r="I359" s="107"/>
    </row>
    <row r="360" spans="1:9" s="108" customFormat="1" ht="12">
      <c r="A360" s="402"/>
      <c r="B360" s="496">
        <v>63</v>
      </c>
      <c r="C360" s="501" t="s">
        <v>18</v>
      </c>
      <c r="D360" s="501"/>
      <c r="E360" s="502"/>
      <c r="F360" s="502"/>
      <c r="G360" s="503"/>
      <c r="H360" s="107"/>
      <c r="I360" s="107"/>
    </row>
    <row r="361" spans="1:9" s="108" customFormat="1" ht="12">
      <c r="A361" s="402" t="s">
        <v>299</v>
      </c>
      <c r="B361" s="529" t="s">
        <v>300</v>
      </c>
      <c r="C361" s="404" t="s">
        <v>301</v>
      </c>
      <c r="D361" s="404" t="s">
        <v>302</v>
      </c>
      <c r="E361" s="405">
        <v>1.05</v>
      </c>
      <c r="F361" s="405">
        <v>0</v>
      </c>
      <c r="G361" s="406">
        <f>E361*F361</f>
        <v>0</v>
      </c>
      <c r="H361" s="107"/>
      <c r="I361" s="107"/>
    </row>
    <row r="362" spans="1:9" s="108" customFormat="1" ht="12">
      <c r="A362" s="402"/>
      <c r="B362" s="652"/>
      <c r="C362" s="404" t="s">
        <v>303</v>
      </c>
      <c r="D362" s="404"/>
      <c r="E362" s="405"/>
      <c r="F362" s="405"/>
      <c r="G362" s="406"/>
      <c r="H362" s="107"/>
      <c r="I362" s="107"/>
    </row>
    <row r="363" spans="1:9" s="108" customFormat="1" ht="12">
      <c r="A363" s="490"/>
      <c r="B363" s="651"/>
      <c r="C363" s="383" t="s">
        <v>304</v>
      </c>
      <c r="D363" s="383"/>
      <c r="E363" s="427"/>
      <c r="F363" s="427"/>
      <c r="G363" s="428"/>
      <c r="H363" s="107"/>
      <c r="I363" s="107"/>
    </row>
    <row r="364" spans="1:9" s="108" customFormat="1" ht="12">
      <c r="A364" s="101" t="s">
        <v>305</v>
      </c>
      <c r="B364" s="219" t="s">
        <v>306</v>
      </c>
      <c r="C364" s="148" t="s">
        <v>307</v>
      </c>
      <c r="D364" s="148" t="s">
        <v>93</v>
      </c>
      <c r="E364" s="149">
        <v>132.4</v>
      </c>
      <c r="F364" s="149">
        <v>0</v>
      </c>
      <c r="G364" s="111">
        <f>E364*F364</f>
        <v>0</v>
      </c>
      <c r="H364" s="107"/>
      <c r="I364" s="107"/>
    </row>
    <row r="365" spans="1:9" s="108" customFormat="1" ht="12">
      <c r="A365" s="101"/>
      <c r="B365" s="112" t="s">
        <v>308</v>
      </c>
      <c r="C365" s="148"/>
      <c r="D365" s="148"/>
      <c r="E365" s="149"/>
      <c r="F365" s="149"/>
      <c r="G365" s="111"/>
      <c r="H365" s="107"/>
      <c r="I365" s="107"/>
    </row>
    <row r="366" spans="1:9" s="108" customFormat="1" ht="12">
      <c r="A366" s="101"/>
      <c r="B366" s="112" t="s">
        <v>309</v>
      </c>
      <c r="C366" s="148">
        <f>54+5.2+4.2+12.5</f>
        <v>75.9</v>
      </c>
      <c r="D366" s="148"/>
      <c r="E366" s="149"/>
      <c r="F366" s="149"/>
      <c r="G366" s="111"/>
      <c r="H366" s="107"/>
      <c r="I366" s="107"/>
    </row>
    <row r="367" spans="1:9" s="108" customFormat="1" ht="12">
      <c r="A367" s="101"/>
      <c r="B367" s="112" t="s">
        <v>97</v>
      </c>
      <c r="C367" s="148"/>
      <c r="D367" s="148"/>
      <c r="E367" s="149"/>
      <c r="F367" s="149"/>
      <c r="G367" s="111"/>
      <c r="H367" s="107"/>
      <c r="I367" s="107"/>
    </row>
    <row r="368" spans="1:9" s="108" customFormat="1" ht="12">
      <c r="A368" s="101"/>
      <c r="B368" s="112" t="s">
        <v>310</v>
      </c>
      <c r="C368" s="148">
        <f>5.4+5.8+4.3+2.3+4.5</f>
        <v>22.3</v>
      </c>
      <c r="D368" s="148"/>
      <c r="E368" s="149"/>
      <c r="F368" s="149"/>
      <c r="G368" s="111"/>
      <c r="H368" s="107"/>
      <c r="I368" s="107"/>
    </row>
    <row r="369" spans="1:9" s="108" customFormat="1" ht="12">
      <c r="A369" s="101"/>
      <c r="B369" s="112" t="s">
        <v>311</v>
      </c>
      <c r="C369" s="148"/>
      <c r="D369" s="148"/>
      <c r="E369" s="149"/>
      <c r="F369" s="149"/>
      <c r="G369" s="111"/>
      <c r="H369" s="107"/>
      <c r="I369" s="107"/>
    </row>
    <row r="370" spans="1:9" s="108" customFormat="1" ht="12">
      <c r="A370" s="101"/>
      <c r="B370" s="112" t="s">
        <v>99</v>
      </c>
      <c r="C370" s="148"/>
      <c r="D370" s="148"/>
      <c r="E370" s="149"/>
      <c r="F370" s="149"/>
      <c r="G370" s="111"/>
      <c r="H370" s="107"/>
      <c r="I370" s="107"/>
    </row>
    <row r="371" spans="1:9" s="108" customFormat="1" ht="12">
      <c r="A371" s="101"/>
      <c r="B371" s="112" t="s">
        <v>312</v>
      </c>
      <c r="C371" s="148">
        <f>3.1+3.4+3+4.2+3.9</f>
        <v>17.599999999999998</v>
      </c>
      <c r="D371" s="148"/>
      <c r="E371" s="149"/>
      <c r="F371" s="149"/>
      <c r="G371" s="111"/>
      <c r="H371" s="107"/>
      <c r="I371" s="107"/>
    </row>
    <row r="372" spans="1:9" s="108" customFormat="1" ht="12">
      <c r="A372" s="101"/>
      <c r="B372" s="112" t="s">
        <v>313</v>
      </c>
      <c r="C372" s="148">
        <f>1.3+1.3</f>
        <v>2.6</v>
      </c>
      <c r="D372" s="148"/>
      <c r="E372" s="149"/>
      <c r="F372" s="149"/>
      <c r="G372" s="111"/>
      <c r="H372" s="107"/>
      <c r="I372" s="107"/>
    </row>
    <row r="373" spans="1:9" s="108" customFormat="1" ht="12">
      <c r="A373" s="101"/>
      <c r="B373" s="112" t="s">
        <v>314</v>
      </c>
      <c r="C373" s="148">
        <f>3.1+10.9</f>
        <v>14</v>
      </c>
      <c r="D373" s="148"/>
      <c r="E373" s="149"/>
      <c r="F373" s="149"/>
      <c r="G373" s="111"/>
      <c r="H373" s="107"/>
      <c r="I373" s="107"/>
    </row>
    <row r="374" spans="1:9" s="108" customFormat="1" ht="12">
      <c r="A374" s="101"/>
      <c r="B374" s="109"/>
      <c r="C374" s="148">
        <f>SUM(C366:C373)</f>
        <v>132.39999999999998</v>
      </c>
      <c r="D374" s="148"/>
      <c r="E374" s="149"/>
      <c r="F374" s="149"/>
      <c r="G374" s="111"/>
      <c r="H374" s="107"/>
      <c r="I374" s="107"/>
    </row>
    <row r="375" spans="1:9" s="108" customFormat="1" ht="12">
      <c r="A375" s="101" t="s">
        <v>315</v>
      </c>
      <c r="B375" s="219" t="s">
        <v>316</v>
      </c>
      <c r="C375" s="148" t="s">
        <v>317</v>
      </c>
      <c r="D375" s="148" t="s">
        <v>104</v>
      </c>
      <c r="E375" s="149">
        <v>12</v>
      </c>
      <c r="F375" s="149">
        <v>0</v>
      </c>
      <c r="G375" s="111">
        <f>PRODUCT(E375*F375)</f>
        <v>0</v>
      </c>
      <c r="H375" s="107"/>
      <c r="I375" s="107"/>
    </row>
    <row r="376" spans="1:9" s="108" customFormat="1" ht="12">
      <c r="A376" s="101"/>
      <c r="B376" s="219"/>
      <c r="C376" s="148" t="s">
        <v>318</v>
      </c>
      <c r="D376" s="148"/>
      <c r="E376" s="149"/>
      <c r="F376" s="149"/>
      <c r="G376" s="111"/>
      <c r="H376" s="107"/>
      <c r="I376" s="107"/>
    </row>
    <row r="377" spans="1:9" s="108" customFormat="1" ht="12">
      <c r="A377" s="101"/>
      <c r="B377" s="219"/>
      <c r="C377" s="148" t="s">
        <v>319</v>
      </c>
      <c r="D377" s="148"/>
      <c r="E377" s="149"/>
      <c r="F377" s="149"/>
      <c r="G377" s="111"/>
      <c r="H377" s="107"/>
      <c r="I377" s="107"/>
    </row>
    <row r="378" spans="1:9" s="108" customFormat="1" ht="12">
      <c r="A378" s="101"/>
      <c r="B378" s="219"/>
      <c r="C378" s="148" t="s">
        <v>320</v>
      </c>
      <c r="D378" s="148"/>
      <c r="E378" s="149"/>
      <c r="F378" s="149"/>
      <c r="G378" s="111"/>
      <c r="H378" s="107"/>
      <c r="I378" s="107"/>
    </row>
    <row r="379" spans="1:9" s="108" customFormat="1" ht="12">
      <c r="A379" s="101"/>
      <c r="B379" s="219"/>
      <c r="C379" s="148" t="s">
        <v>321</v>
      </c>
      <c r="D379" s="148"/>
      <c r="E379" s="149"/>
      <c r="F379" s="149"/>
      <c r="G379" s="111"/>
      <c r="H379" s="107"/>
      <c r="I379" s="107"/>
    </row>
    <row r="380" spans="1:9" s="108" customFormat="1" ht="12">
      <c r="A380" s="101"/>
      <c r="B380" s="219"/>
      <c r="C380" s="148" t="s">
        <v>322</v>
      </c>
      <c r="D380" s="148"/>
      <c r="E380" s="149"/>
      <c r="F380" s="149"/>
      <c r="G380" s="111"/>
      <c r="H380" s="107"/>
      <c r="I380" s="107"/>
    </row>
    <row r="381" spans="1:9" s="108" customFormat="1" ht="12">
      <c r="A381" s="101"/>
      <c r="B381" s="219"/>
      <c r="C381" s="148"/>
      <c r="D381" s="148"/>
      <c r="E381" s="149"/>
      <c r="F381" s="149"/>
      <c r="G381" s="111"/>
      <c r="H381" s="107"/>
      <c r="I381" s="107"/>
    </row>
    <row r="382" spans="1:9" s="108" customFormat="1" ht="12">
      <c r="A382" s="101" t="s">
        <v>323</v>
      </c>
      <c r="B382" s="219" t="s">
        <v>324</v>
      </c>
      <c r="C382" s="148" t="s">
        <v>325</v>
      </c>
      <c r="D382" s="148" t="s">
        <v>104</v>
      </c>
      <c r="E382" s="149">
        <v>5</v>
      </c>
      <c r="F382" s="149">
        <v>0</v>
      </c>
      <c r="G382" s="111">
        <f>PRODUCT(E382*F382)</f>
        <v>0</v>
      </c>
      <c r="H382" s="107"/>
      <c r="I382" s="107"/>
    </row>
    <row r="383" spans="1:9" s="108" customFormat="1" ht="12">
      <c r="A383" s="101"/>
      <c r="B383" s="219"/>
      <c r="C383" s="148" t="s">
        <v>326</v>
      </c>
      <c r="D383" s="148"/>
      <c r="E383" s="149"/>
      <c r="F383" s="149"/>
      <c r="G383" s="111"/>
      <c r="H383" s="107"/>
      <c r="I383" s="107"/>
    </row>
    <row r="384" spans="1:9" s="108" customFormat="1" ht="12">
      <c r="A384" s="131"/>
      <c r="B384" s="220"/>
      <c r="C384" s="214"/>
      <c r="D384" s="214"/>
      <c r="E384" s="215"/>
      <c r="F384" s="215"/>
      <c r="G384" s="135"/>
      <c r="H384" s="107"/>
      <c r="I384" s="107"/>
    </row>
    <row r="385" spans="1:9" s="108" customFormat="1" ht="12">
      <c r="A385" s="644"/>
      <c r="B385" s="653"/>
      <c r="C385" s="646" t="s">
        <v>160</v>
      </c>
      <c r="D385" s="647"/>
      <c r="E385" s="648"/>
      <c r="F385" s="654"/>
      <c r="G385" s="649">
        <f>SUM(G361:G384)</f>
        <v>0</v>
      </c>
      <c r="H385" s="107"/>
      <c r="I385" s="107"/>
    </row>
    <row r="386" spans="1:9" s="108" customFormat="1" ht="12">
      <c r="A386" s="402"/>
      <c r="B386" s="496">
        <v>94</v>
      </c>
      <c r="C386" s="501" t="s">
        <v>19</v>
      </c>
      <c r="D386" s="501"/>
      <c r="E386" s="502"/>
      <c r="F386" s="502"/>
      <c r="G386" s="503"/>
      <c r="H386" s="107"/>
      <c r="I386" s="107"/>
    </row>
    <row r="387" spans="1:11" s="108" customFormat="1" ht="12">
      <c r="A387" s="402" t="s">
        <v>327</v>
      </c>
      <c r="B387" s="403" t="s">
        <v>328</v>
      </c>
      <c r="C387" s="404" t="s">
        <v>329</v>
      </c>
      <c r="D387" s="404" t="s">
        <v>93</v>
      </c>
      <c r="E387" s="405">
        <v>1098.22</v>
      </c>
      <c r="F387" s="405">
        <v>0</v>
      </c>
      <c r="G387" s="406">
        <f>PRODUCT(E387*F387)</f>
        <v>0</v>
      </c>
      <c r="H387" s="107"/>
      <c r="I387" s="107"/>
      <c r="J387" s="90"/>
      <c r="K387" s="90"/>
    </row>
    <row r="388" spans="1:9" s="108" customFormat="1" ht="12">
      <c r="A388" s="490"/>
      <c r="B388" s="382"/>
      <c r="C388" s="382">
        <f>388.9+380.82+328.5</f>
        <v>1098.22</v>
      </c>
      <c r="D388" s="383"/>
      <c r="E388" s="427"/>
      <c r="F388" s="427"/>
      <c r="G388" s="428"/>
      <c r="H388" s="107"/>
      <c r="I388" s="107"/>
    </row>
    <row r="389" spans="1:9" s="108" customFormat="1" ht="12">
      <c r="A389" s="101" t="s">
        <v>330</v>
      </c>
      <c r="B389" s="109" t="s">
        <v>331</v>
      </c>
      <c r="C389" s="148" t="s">
        <v>332</v>
      </c>
      <c r="D389" s="148" t="s">
        <v>93</v>
      </c>
      <c r="E389" s="149">
        <v>27.48</v>
      </c>
      <c r="F389" s="149">
        <v>0</v>
      </c>
      <c r="G389" s="111">
        <f>PRODUCT(E389*F389)</f>
        <v>0</v>
      </c>
      <c r="H389" s="107"/>
      <c r="I389" s="107"/>
    </row>
    <row r="390" spans="1:9" s="108" customFormat="1" ht="12">
      <c r="A390" s="101"/>
      <c r="B390" s="109"/>
      <c r="C390" s="148">
        <f>(5.96+3.2)*3</f>
        <v>27.48</v>
      </c>
      <c r="D390" s="148"/>
      <c r="E390" s="149"/>
      <c r="F390" s="149"/>
      <c r="G390" s="111"/>
      <c r="H390" s="107"/>
      <c r="I390" s="107"/>
    </row>
    <row r="391" spans="1:9" s="108" customFormat="1" ht="12">
      <c r="A391" s="101" t="s">
        <v>333</v>
      </c>
      <c r="B391" s="109" t="s">
        <v>334</v>
      </c>
      <c r="C391" s="148" t="s">
        <v>335</v>
      </c>
      <c r="D391" s="148" t="s">
        <v>93</v>
      </c>
      <c r="E391" s="149">
        <v>216</v>
      </c>
      <c r="F391" s="149">
        <v>0</v>
      </c>
      <c r="G391" s="111">
        <f>PRODUCT(E391*F391)</f>
        <v>0</v>
      </c>
      <c r="H391" s="107"/>
      <c r="I391" s="107"/>
    </row>
    <row r="392" spans="1:9" s="108" customFormat="1" ht="12">
      <c r="A392" s="101"/>
      <c r="B392" s="109"/>
      <c r="C392" s="148">
        <f>6*9*4</f>
        <v>216</v>
      </c>
      <c r="D392" s="148"/>
      <c r="E392" s="149"/>
      <c r="F392" s="149"/>
      <c r="G392" s="111"/>
      <c r="H392" s="107"/>
      <c r="I392" s="107"/>
    </row>
    <row r="393" spans="1:9" s="108" customFormat="1" ht="12">
      <c r="A393" s="101" t="s">
        <v>336</v>
      </c>
      <c r="B393" s="109" t="s">
        <v>337</v>
      </c>
      <c r="C393" s="148" t="s">
        <v>338</v>
      </c>
      <c r="D393" s="148" t="s">
        <v>93</v>
      </c>
      <c r="E393" s="149">
        <v>216</v>
      </c>
      <c r="F393" s="149">
        <v>0</v>
      </c>
      <c r="G393" s="111">
        <f>PRODUCT(E393*F393)</f>
        <v>0</v>
      </c>
      <c r="H393" s="107"/>
      <c r="I393" s="107"/>
    </row>
    <row r="394" spans="1:9" s="108" customFormat="1" ht="12">
      <c r="A394" s="101" t="s">
        <v>339</v>
      </c>
      <c r="B394" s="109" t="s">
        <v>340</v>
      </c>
      <c r="C394" s="148" t="s">
        <v>341</v>
      </c>
      <c r="D394" s="148" t="s">
        <v>93</v>
      </c>
      <c r="E394" s="149">
        <v>216</v>
      </c>
      <c r="F394" s="149">
        <v>0</v>
      </c>
      <c r="G394" s="111">
        <f>PRODUCT(E394*F394)</f>
        <v>0</v>
      </c>
      <c r="H394" s="107"/>
      <c r="I394" s="107"/>
    </row>
    <row r="395" spans="1:9" s="108" customFormat="1" ht="12">
      <c r="A395" s="101" t="s">
        <v>342</v>
      </c>
      <c r="B395" s="109" t="s">
        <v>343</v>
      </c>
      <c r="C395" s="148" t="s">
        <v>344</v>
      </c>
      <c r="D395" s="148" t="s">
        <v>93</v>
      </c>
      <c r="E395" s="149">
        <v>2667</v>
      </c>
      <c r="F395" s="223">
        <v>0</v>
      </c>
      <c r="G395" s="111">
        <f>PRODUCT(E395*F395)</f>
        <v>0</v>
      </c>
      <c r="H395" s="107"/>
      <c r="I395" s="107"/>
    </row>
    <row r="396" spans="1:9" s="108" customFormat="1" ht="12">
      <c r="A396" s="101"/>
      <c r="B396" s="109"/>
      <c r="C396" s="148">
        <f>889*3</f>
        <v>2667</v>
      </c>
      <c r="D396" s="148"/>
      <c r="E396" s="149"/>
      <c r="F396" s="149"/>
      <c r="G396" s="111"/>
      <c r="H396" s="107"/>
      <c r="I396" s="107"/>
    </row>
    <row r="397" spans="1:9" s="108" customFormat="1" ht="12">
      <c r="A397" s="101" t="s">
        <v>345</v>
      </c>
      <c r="B397" s="109" t="s">
        <v>346</v>
      </c>
      <c r="C397" s="148" t="s">
        <v>347</v>
      </c>
      <c r="D397" s="148" t="s">
        <v>104</v>
      </c>
      <c r="E397" s="149">
        <v>4</v>
      </c>
      <c r="F397" s="224">
        <v>0</v>
      </c>
      <c r="G397" s="111">
        <f>PRODUCT(E397*F397)</f>
        <v>0</v>
      </c>
      <c r="H397" s="107"/>
      <c r="I397" s="107"/>
    </row>
    <row r="398" spans="1:9" s="108" customFormat="1" ht="12">
      <c r="A398" s="101"/>
      <c r="B398" s="109"/>
      <c r="C398" s="148" t="s">
        <v>348</v>
      </c>
      <c r="D398" s="148"/>
      <c r="E398" s="149"/>
      <c r="F398" s="224"/>
      <c r="G398" s="111"/>
      <c r="H398" s="107"/>
      <c r="I398" s="107"/>
    </row>
    <row r="399" spans="1:9" s="108" customFormat="1" ht="12">
      <c r="A399" s="101" t="s">
        <v>349</v>
      </c>
      <c r="B399" s="225" t="s">
        <v>350</v>
      </c>
      <c r="C399" s="105" t="s">
        <v>351</v>
      </c>
      <c r="D399" s="198" t="s">
        <v>83</v>
      </c>
      <c r="E399" s="199">
        <v>1</v>
      </c>
      <c r="F399" s="145">
        <v>0</v>
      </c>
      <c r="G399" s="200">
        <f>E399*F399</f>
        <v>0</v>
      </c>
      <c r="H399" s="107"/>
      <c r="I399" s="107"/>
    </row>
    <row r="400" spans="1:7" ht="12">
      <c r="A400" s="101" t="s">
        <v>352</v>
      </c>
      <c r="B400" s="226" t="s">
        <v>353</v>
      </c>
      <c r="C400" s="187" t="s">
        <v>354</v>
      </c>
      <c r="D400" s="187" t="s">
        <v>104</v>
      </c>
      <c r="E400" s="188">
        <v>30</v>
      </c>
      <c r="F400" s="188">
        <v>0</v>
      </c>
      <c r="G400" s="227">
        <f>PRODUCT(E400*F400)</f>
        <v>0</v>
      </c>
    </row>
    <row r="401" spans="1:9" s="108" customFormat="1" ht="13.5" customHeight="1">
      <c r="A401" s="101" t="s">
        <v>355</v>
      </c>
      <c r="B401" s="132" t="s">
        <v>356</v>
      </c>
      <c r="C401" s="214" t="s">
        <v>357</v>
      </c>
      <c r="D401" s="214" t="s">
        <v>358</v>
      </c>
      <c r="E401" s="215">
        <v>218.45</v>
      </c>
      <c r="F401" s="215">
        <v>0</v>
      </c>
      <c r="G401" s="135">
        <f>PRODUCT(E401*F401)</f>
        <v>0</v>
      </c>
      <c r="H401" s="107"/>
      <c r="I401" s="107"/>
    </row>
    <row r="402" spans="1:9" s="108" customFormat="1" ht="12">
      <c r="A402" s="124"/>
      <c r="B402" s="221"/>
      <c r="C402" s="126" t="s">
        <v>160</v>
      </c>
      <c r="D402" s="207"/>
      <c r="E402" s="208"/>
      <c r="F402" s="222"/>
      <c r="G402" s="209">
        <f>SUM(G387:G401)</f>
        <v>0</v>
      </c>
      <c r="H402" s="107"/>
      <c r="I402" s="158"/>
    </row>
    <row r="403" spans="1:9" s="108" customFormat="1" ht="12">
      <c r="A403" s="101"/>
      <c r="B403" s="228" t="s">
        <v>359</v>
      </c>
      <c r="C403" s="229" t="s">
        <v>20</v>
      </c>
      <c r="D403" s="230"/>
      <c r="E403" s="140"/>
      <c r="F403" s="231"/>
      <c r="G403" s="140"/>
      <c r="H403" s="107"/>
      <c r="I403" s="107"/>
    </row>
    <row r="404" spans="1:9" s="108" customFormat="1" ht="12">
      <c r="A404" s="101" t="s">
        <v>360</v>
      </c>
      <c r="B404" s="232" t="s">
        <v>361</v>
      </c>
      <c r="C404" s="143" t="s">
        <v>362</v>
      </c>
      <c r="D404" s="233" t="s">
        <v>93</v>
      </c>
      <c r="E404" s="234">
        <v>169.21</v>
      </c>
      <c r="F404" s="235">
        <v>0</v>
      </c>
      <c r="G404" s="234">
        <f>E404*F404</f>
        <v>0</v>
      </c>
      <c r="H404" s="107"/>
      <c r="I404" s="107"/>
    </row>
    <row r="405" spans="1:9" s="108" customFormat="1" ht="12">
      <c r="A405" s="101"/>
      <c r="B405" s="236" t="s">
        <v>363</v>
      </c>
      <c r="C405" s="143" t="s">
        <v>364</v>
      </c>
      <c r="D405" s="233"/>
      <c r="E405" s="234"/>
      <c r="F405" s="235"/>
      <c r="G405" s="234"/>
      <c r="H405" s="107"/>
      <c r="I405" s="107"/>
    </row>
    <row r="406" spans="1:9" s="108" customFormat="1" ht="12">
      <c r="A406" s="101"/>
      <c r="B406" s="236" t="s">
        <v>365</v>
      </c>
      <c r="C406" s="143"/>
      <c r="D406" s="233"/>
      <c r="E406" s="234"/>
      <c r="F406" s="235"/>
      <c r="G406" s="234"/>
      <c r="H406" s="107"/>
      <c r="I406" s="107"/>
    </row>
    <row r="407" spans="1:9" s="108" customFormat="1" ht="12">
      <c r="A407" s="101"/>
      <c r="B407" s="236" t="s">
        <v>366</v>
      </c>
      <c r="C407" s="143" t="s">
        <v>367</v>
      </c>
      <c r="D407" s="233"/>
      <c r="E407" s="234"/>
      <c r="F407" s="235"/>
      <c r="G407" s="234"/>
      <c r="H407" s="107"/>
      <c r="I407" s="107"/>
    </row>
    <row r="408" spans="1:9" s="108" customFormat="1" ht="12">
      <c r="A408" s="101"/>
      <c r="B408" s="236" t="s">
        <v>368</v>
      </c>
      <c r="C408" s="143"/>
      <c r="D408" s="233"/>
      <c r="E408" s="234"/>
      <c r="F408" s="235"/>
      <c r="G408" s="234"/>
      <c r="H408" s="107"/>
      <c r="I408" s="107"/>
    </row>
    <row r="409" spans="1:9" s="108" customFormat="1" ht="12">
      <c r="A409" s="101"/>
      <c r="B409" s="236" t="s">
        <v>369</v>
      </c>
      <c r="C409" s="143" t="s">
        <v>370</v>
      </c>
      <c r="D409" s="233"/>
      <c r="E409" s="234"/>
      <c r="F409" s="235"/>
      <c r="G409" s="234"/>
      <c r="H409" s="107"/>
      <c r="I409" s="107"/>
    </row>
    <row r="410" spans="1:9" s="108" customFormat="1" ht="12">
      <c r="A410" s="101"/>
      <c r="B410" s="232"/>
      <c r="C410" s="143"/>
      <c r="D410" s="233"/>
      <c r="E410" s="234"/>
      <c r="F410" s="235"/>
      <c r="G410" s="234"/>
      <c r="H410" s="107"/>
      <c r="I410" s="107"/>
    </row>
    <row r="411" spans="1:9" s="159" customFormat="1" ht="12">
      <c r="A411" s="152" t="s">
        <v>371</v>
      </c>
      <c r="B411" s="152" t="s">
        <v>372</v>
      </c>
      <c r="C411" s="237" t="s">
        <v>373</v>
      </c>
      <c r="D411" s="202" t="s">
        <v>157</v>
      </c>
      <c r="E411" s="203">
        <v>88.73</v>
      </c>
      <c r="F411" s="204">
        <v>0</v>
      </c>
      <c r="G411" s="203">
        <f>E411*F411</f>
        <v>0</v>
      </c>
      <c r="H411" s="158"/>
      <c r="I411" s="107"/>
    </row>
    <row r="412" spans="1:9" s="159" customFormat="1" ht="12">
      <c r="A412" s="152"/>
      <c r="B412" s="238" t="s">
        <v>158</v>
      </c>
      <c r="C412" s="237">
        <f>(5.89+1.8+4.65+9.8+1.3+2.54+3+1.7+1.1+1.6+3.2)</f>
        <v>36.580000000000005</v>
      </c>
      <c r="D412" s="202"/>
      <c r="E412" s="203"/>
      <c r="F412" s="204"/>
      <c r="G412" s="203"/>
      <c r="H412" s="158"/>
      <c r="I412" s="107"/>
    </row>
    <row r="413" spans="1:9" s="108" customFormat="1" ht="12">
      <c r="A413" s="101"/>
      <c r="B413" s="239" t="s">
        <v>374</v>
      </c>
      <c r="C413" s="105">
        <f>49*0.56</f>
        <v>27.44</v>
      </c>
      <c r="D413" s="148"/>
      <c r="E413" s="149"/>
      <c r="F413" s="149"/>
      <c r="G413" s="111"/>
      <c r="H413" s="107"/>
      <c r="I413" s="107"/>
    </row>
    <row r="414" spans="1:9" s="108" customFormat="1" ht="12">
      <c r="A414" s="101"/>
      <c r="B414" s="239" t="s">
        <v>375</v>
      </c>
      <c r="C414" s="148">
        <f>(3.2+1.5+1.5)+(3.2+1.75+1.45)+(1.455+1.455+3.2)+(3.4+1.3+1.3)</f>
        <v>24.71</v>
      </c>
      <c r="D414" s="148"/>
      <c r="E414" s="149"/>
      <c r="F414" s="149"/>
      <c r="G414" s="111"/>
      <c r="H414" s="107"/>
      <c r="I414" s="107"/>
    </row>
    <row r="415" spans="1:9" s="108" customFormat="1" ht="12">
      <c r="A415" s="101"/>
      <c r="B415" s="232"/>
      <c r="C415" s="143">
        <f>SUM(C412:C414)</f>
        <v>88.73000000000002</v>
      </c>
      <c r="D415" s="233"/>
      <c r="E415" s="234"/>
      <c r="F415" s="235"/>
      <c r="G415" s="234"/>
      <c r="H415" s="107"/>
      <c r="I415" s="107"/>
    </row>
    <row r="416" spans="1:9" s="108" customFormat="1" ht="12">
      <c r="A416" s="101"/>
      <c r="B416" s="232"/>
      <c r="C416" s="143"/>
      <c r="D416" s="233"/>
      <c r="E416" s="234"/>
      <c r="F416" s="235"/>
      <c r="G416" s="234"/>
      <c r="H416" s="107"/>
      <c r="I416" s="107"/>
    </row>
    <row r="417" spans="1:9" s="108" customFormat="1" ht="12">
      <c r="A417" s="101" t="s">
        <v>376</v>
      </c>
      <c r="B417" s="232" t="s">
        <v>377</v>
      </c>
      <c r="C417" s="143" t="s">
        <v>378</v>
      </c>
      <c r="D417" s="233" t="s">
        <v>302</v>
      </c>
      <c r="E417" s="234">
        <v>2.2</v>
      </c>
      <c r="F417" s="235">
        <v>0</v>
      </c>
      <c r="G417" s="234">
        <f>E417*F417</f>
        <v>0</v>
      </c>
      <c r="H417" s="107"/>
      <c r="I417" s="107"/>
    </row>
    <row r="418" spans="1:9" s="108" customFormat="1" ht="12">
      <c r="A418" s="101"/>
      <c r="B418" s="236" t="s">
        <v>379</v>
      </c>
      <c r="C418" s="143">
        <f>4.2+2.6</f>
        <v>6.800000000000001</v>
      </c>
      <c r="D418" s="233"/>
      <c r="E418" s="234"/>
      <c r="F418" s="235"/>
      <c r="G418" s="234"/>
      <c r="H418" s="107"/>
      <c r="I418" s="107"/>
    </row>
    <row r="419" spans="1:9" s="108" customFormat="1" ht="12">
      <c r="A419" s="101"/>
      <c r="B419" s="236" t="s">
        <v>380</v>
      </c>
      <c r="C419" s="143">
        <f>0.41+4.3+2.3+4.5</f>
        <v>11.51</v>
      </c>
      <c r="D419" s="233"/>
      <c r="E419" s="234"/>
      <c r="F419" s="235"/>
      <c r="G419" s="234"/>
      <c r="H419" s="107"/>
      <c r="I419" s="107"/>
    </row>
    <row r="420" spans="1:9" s="108" customFormat="1" ht="12">
      <c r="A420" s="101"/>
      <c r="B420" s="236" t="s">
        <v>220</v>
      </c>
      <c r="C420" s="143"/>
      <c r="D420" s="233"/>
      <c r="E420" s="234"/>
      <c r="F420" s="235"/>
      <c r="G420" s="234"/>
      <c r="H420" s="107"/>
      <c r="I420" s="107"/>
    </row>
    <row r="421" spans="1:9" s="108" customFormat="1" ht="12">
      <c r="A421" s="101"/>
      <c r="B421" s="236" t="s">
        <v>381</v>
      </c>
      <c r="C421" s="143">
        <f>3.1+3.1+3.4+3+4.2+2.3+3.9+1.3+1.3</f>
        <v>25.6</v>
      </c>
      <c r="D421" s="233"/>
      <c r="E421" s="234"/>
      <c r="F421" s="235"/>
      <c r="G421" s="234"/>
      <c r="H421" s="107"/>
      <c r="I421" s="107"/>
    </row>
    <row r="422" spans="1:9" s="108" customFormat="1" ht="12">
      <c r="A422" s="101"/>
      <c r="B422" s="236" t="s">
        <v>313</v>
      </c>
      <c r="C422" s="143">
        <f>SUM(C418:C421)*0.05</f>
        <v>2.1955000000000005</v>
      </c>
      <c r="D422" s="233"/>
      <c r="E422" s="234"/>
      <c r="F422" s="235"/>
      <c r="G422" s="234"/>
      <c r="H422" s="107"/>
      <c r="I422" s="107"/>
    </row>
    <row r="423" spans="1:9" s="108" customFormat="1" ht="12">
      <c r="A423" s="101" t="s">
        <v>382</v>
      </c>
      <c r="B423" s="232" t="s">
        <v>383</v>
      </c>
      <c r="C423" s="143" t="s">
        <v>384</v>
      </c>
      <c r="D423" s="233" t="s">
        <v>302</v>
      </c>
      <c r="E423" s="234">
        <v>6.265</v>
      </c>
      <c r="F423" s="235">
        <v>0</v>
      </c>
      <c r="G423" s="234">
        <f>E423*F423</f>
        <v>0</v>
      </c>
      <c r="H423" s="107"/>
      <c r="I423" s="107"/>
    </row>
    <row r="424" spans="1:9" s="108" customFormat="1" ht="12">
      <c r="A424" s="101"/>
      <c r="B424" s="236" t="s">
        <v>385</v>
      </c>
      <c r="C424" s="143">
        <f>54-13.8+5.2+12.5+32</f>
        <v>89.9</v>
      </c>
      <c r="D424" s="233"/>
      <c r="E424" s="234"/>
      <c r="F424" s="235"/>
      <c r="G424" s="234"/>
      <c r="H424" s="107"/>
      <c r="I424" s="107"/>
    </row>
    <row r="425" spans="1:9" s="108" customFormat="1" ht="12">
      <c r="A425" s="101"/>
      <c r="B425" s="236" t="s">
        <v>386</v>
      </c>
      <c r="C425" s="143"/>
      <c r="D425" s="233"/>
      <c r="E425" s="234"/>
      <c r="F425" s="235"/>
      <c r="G425" s="234"/>
      <c r="H425" s="107"/>
      <c r="I425" s="107"/>
    </row>
    <row r="426" spans="1:9" s="108" customFormat="1" ht="12">
      <c r="A426" s="101"/>
      <c r="B426" s="236" t="s">
        <v>366</v>
      </c>
      <c r="C426" s="143">
        <f>5.4+5.8+13.3</f>
        <v>24.5</v>
      </c>
      <c r="D426" s="233"/>
      <c r="E426" s="234"/>
      <c r="F426" s="235"/>
      <c r="G426" s="234"/>
      <c r="H426" s="107"/>
      <c r="I426" s="107"/>
    </row>
    <row r="427" spans="1:9" s="108" customFormat="1" ht="12">
      <c r="A427" s="101"/>
      <c r="B427" s="236" t="s">
        <v>159</v>
      </c>
      <c r="C427" s="143"/>
      <c r="D427" s="233"/>
      <c r="E427" s="234"/>
      <c r="F427" s="235"/>
      <c r="G427" s="234"/>
      <c r="H427" s="107"/>
      <c r="I427" s="107"/>
    </row>
    <row r="428" spans="1:9" s="108" customFormat="1" ht="12">
      <c r="A428" s="101"/>
      <c r="B428" s="236" t="s">
        <v>278</v>
      </c>
      <c r="C428" s="143">
        <f>10.9</f>
        <v>10.9</v>
      </c>
      <c r="D428" s="233"/>
      <c r="E428" s="234"/>
      <c r="F428" s="235"/>
      <c r="G428" s="234"/>
      <c r="H428" s="107"/>
      <c r="I428" s="107"/>
    </row>
    <row r="429" spans="1:9" s="108" customFormat="1" ht="12">
      <c r="A429" s="101"/>
      <c r="B429" s="232"/>
      <c r="C429" s="143">
        <f>SUM(C424:C428)*0.05</f>
        <v>6.265000000000001</v>
      </c>
      <c r="D429" s="233"/>
      <c r="E429" s="234"/>
      <c r="F429" s="235"/>
      <c r="G429" s="234"/>
      <c r="H429" s="107"/>
      <c r="I429" s="107"/>
    </row>
    <row r="430" spans="1:9" s="108" customFormat="1" ht="12">
      <c r="A430" s="101" t="s">
        <v>387</v>
      </c>
      <c r="B430" s="232" t="s">
        <v>377</v>
      </c>
      <c r="C430" s="143" t="s">
        <v>388</v>
      </c>
      <c r="D430" s="233" t="s">
        <v>302</v>
      </c>
      <c r="E430" s="234">
        <v>0.85</v>
      </c>
      <c r="F430" s="235">
        <v>0</v>
      </c>
      <c r="G430" s="234">
        <f>E430*F430</f>
        <v>0</v>
      </c>
      <c r="H430" s="107"/>
      <c r="I430" s="107"/>
    </row>
    <row r="431" spans="1:9" s="108" customFormat="1" ht="12">
      <c r="A431" s="101"/>
      <c r="B431" s="236" t="s">
        <v>389</v>
      </c>
      <c r="C431" s="143" t="s">
        <v>303</v>
      </c>
      <c r="D431" s="233"/>
      <c r="E431" s="234"/>
      <c r="F431" s="235"/>
      <c r="G431" s="234"/>
      <c r="H431" s="107"/>
      <c r="I431" s="107"/>
    </row>
    <row r="432" spans="1:9" s="108" customFormat="1" ht="12">
      <c r="A432" s="101" t="s">
        <v>390</v>
      </c>
      <c r="B432" s="232" t="s">
        <v>391</v>
      </c>
      <c r="C432" s="143" t="s">
        <v>392</v>
      </c>
      <c r="D432" s="233" t="s">
        <v>157</v>
      </c>
      <c r="E432" s="234">
        <v>82.8</v>
      </c>
      <c r="F432" s="235">
        <v>0</v>
      </c>
      <c r="G432" s="234">
        <f>E432*F432</f>
        <v>0</v>
      </c>
      <c r="H432" s="240"/>
      <c r="I432" s="107"/>
    </row>
    <row r="433" spans="1:9" s="108" customFormat="1" ht="12">
      <c r="A433" s="101"/>
      <c r="B433" s="241" t="s">
        <v>393</v>
      </c>
      <c r="C433" s="105">
        <f>(1.325*49)</f>
        <v>64.925</v>
      </c>
      <c r="D433" s="104"/>
      <c r="E433" s="242"/>
      <c r="F433" s="110"/>
      <c r="G433" s="199"/>
      <c r="H433" s="107"/>
      <c r="I433" s="107"/>
    </row>
    <row r="434" spans="1:9" s="108" customFormat="1" ht="12">
      <c r="A434" s="101"/>
      <c r="B434" s="239" t="s">
        <v>122</v>
      </c>
      <c r="C434" s="148">
        <f>1.8*4</f>
        <v>7.2</v>
      </c>
      <c r="D434" s="148"/>
      <c r="E434" s="149"/>
      <c r="F434" s="149"/>
      <c r="G434" s="111"/>
      <c r="H434" s="107"/>
      <c r="I434" s="107"/>
    </row>
    <row r="435" spans="1:9" s="108" customFormat="1" ht="12">
      <c r="A435" s="101"/>
      <c r="B435" s="239" t="s">
        <v>222</v>
      </c>
      <c r="C435" s="148">
        <f>1.65*5</f>
        <v>8.25</v>
      </c>
      <c r="D435" s="148"/>
      <c r="E435" s="149"/>
      <c r="F435" s="149"/>
      <c r="G435" s="111"/>
      <c r="H435" s="107"/>
      <c r="I435" s="107"/>
    </row>
    <row r="436" spans="1:9" s="108" customFormat="1" ht="12">
      <c r="A436" s="101"/>
      <c r="B436" s="239" t="s">
        <v>223</v>
      </c>
      <c r="C436" s="148">
        <f>1.195*2</f>
        <v>2.39</v>
      </c>
      <c r="D436" s="148"/>
      <c r="E436" s="149"/>
      <c r="F436" s="149"/>
      <c r="G436" s="111"/>
      <c r="H436" s="107"/>
      <c r="I436" s="107"/>
    </row>
    <row r="437" spans="1:9" s="108" customFormat="1" ht="12">
      <c r="A437" s="101"/>
      <c r="B437" s="205"/>
      <c r="C437" s="148">
        <f>SUM(C433:C436)</f>
        <v>82.765</v>
      </c>
      <c r="D437" s="148"/>
      <c r="E437" s="149"/>
      <c r="F437" s="149"/>
      <c r="G437" s="111"/>
      <c r="H437" s="107"/>
      <c r="I437" s="107"/>
    </row>
    <row r="438" spans="1:9" s="108" customFormat="1" ht="12">
      <c r="A438" s="101" t="s">
        <v>394</v>
      </c>
      <c r="B438" s="232" t="s">
        <v>395</v>
      </c>
      <c r="C438" s="143" t="s">
        <v>396</v>
      </c>
      <c r="D438" s="233" t="s">
        <v>93</v>
      </c>
      <c r="E438" s="234">
        <v>706.88</v>
      </c>
      <c r="F438" s="235">
        <v>0</v>
      </c>
      <c r="G438" s="234">
        <f>E438*F438</f>
        <v>0</v>
      </c>
      <c r="H438" s="191"/>
      <c r="I438" s="107"/>
    </row>
    <row r="439" spans="1:9" s="108" customFormat="1" ht="12">
      <c r="A439" s="101"/>
      <c r="B439" s="112" t="s">
        <v>397</v>
      </c>
      <c r="C439" s="148">
        <f>(13.8+20.7+28.4+11.9)</f>
        <v>74.8</v>
      </c>
      <c r="D439" s="148"/>
      <c r="E439" s="149"/>
      <c r="F439" s="149"/>
      <c r="G439" s="111"/>
      <c r="H439" s="107"/>
      <c r="I439" s="107"/>
    </row>
    <row r="440" spans="1:9" s="108" customFormat="1" ht="12">
      <c r="A440" s="101"/>
      <c r="B440" s="239" t="s">
        <v>398</v>
      </c>
      <c r="C440" s="155">
        <f>52.3+27.2+25.7+19+24.1+11.2+19.4+20+17.9</f>
        <v>216.8</v>
      </c>
      <c r="D440" s="148"/>
      <c r="E440" s="149"/>
      <c r="F440" s="149"/>
      <c r="G440" s="111"/>
      <c r="H440" s="107"/>
      <c r="I440" s="107"/>
    </row>
    <row r="441" spans="1:9" s="108" customFormat="1" ht="12">
      <c r="A441" s="101"/>
      <c r="B441" s="239" t="s">
        <v>399</v>
      </c>
      <c r="C441" s="155">
        <f>22.8+8.7+72.8+2.6</f>
        <v>106.89999999999999</v>
      </c>
      <c r="D441" s="148"/>
      <c r="E441" s="149"/>
      <c r="F441" s="149"/>
      <c r="G441" s="111"/>
      <c r="H441" s="107"/>
      <c r="I441" s="107"/>
    </row>
    <row r="442" spans="1:9" s="108" customFormat="1" ht="12">
      <c r="A442" s="101"/>
      <c r="B442" s="239" t="s">
        <v>400</v>
      </c>
      <c r="C442" s="155"/>
      <c r="D442" s="148"/>
      <c r="E442" s="149"/>
      <c r="F442" s="149"/>
      <c r="G442" s="111"/>
      <c r="H442" s="107"/>
      <c r="I442" s="107"/>
    </row>
    <row r="443" spans="1:9" s="108" customFormat="1" ht="12">
      <c r="A443" s="101"/>
      <c r="B443" s="239" t="s">
        <v>401</v>
      </c>
      <c r="C443" s="155">
        <f>4.4+74.1+41.9+19.7+23.4+19.9+23.9+20.6+19.3+19.3+14.9</f>
        <v>281.4</v>
      </c>
      <c r="D443" s="148"/>
      <c r="E443" s="149"/>
      <c r="F443" s="149"/>
      <c r="G443" s="111"/>
      <c r="H443" s="107"/>
      <c r="I443" s="107"/>
    </row>
    <row r="444" spans="1:9" s="108" customFormat="1" ht="12">
      <c r="A444" s="101"/>
      <c r="B444" s="239" t="s">
        <v>402</v>
      </c>
      <c r="C444" s="155">
        <f>6.1+0.7</f>
        <v>6.8</v>
      </c>
      <c r="D444" s="148"/>
      <c r="E444" s="149"/>
      <c r="F444" s="149"/>
      <c r="G444" s="111"/>
      <c r="H444" s="107"/>
      <c r="I444" s="107"/>
    </row>
    <row r="445" spans="1:9" s="108" customFormat="1" ht="12">
      <c r="A445" s="101"/>
      <c r="B445" s="239" t="s">
        <v>375</v>
      </c>
      <c r="C445" s="155">
        <f>(3.2*1.5)+(3.2*1.75)+(1.455*3.2)+(3.4*1.3)+(1.55*0.45)</f>
        <v>20.173500000000004</v>
      </c>
      <c r="D445" s="148"/>
      <c r="E445" s="149"/>
      <c r="F445" s="149"/>
      <c r="G445" s="111"/>
      <c r="H445" s="107"/>
      <c r="I445" s="107"/>
    </row>
    <row r="446" spans="1:9" s="108" customFormat="1" ht="12">
      <c r="A446" s="101"/>
      <c r="B446" s="205"/>
      <c r="C446" s="148">
        <f>SUM(C439:C445)</f>
        <v>706.8734999999999</v>
      </c>
      <c r="D446" s="148"/>
      <c r="E446" s="149"/>
      <c r="F446" s="149"/>
      <c r="G446" s="111"/>
      <c r="H446" s="107"/>
      <c r="I446" s="107"/>
    </row>
    <row r="447" spans="1:9" s="108" customFormat="1" ht="12">
      <c r="A447" s="101" t="s">
        <v>403</v>
      </c>
      <c r="B447" s="232" t="s">
        <v>404</v>
      </c>
      <c r="C447" s="143" t="s">
        <v>405</v>
      </c>
      <c r="D447" s="233" t="s">
        <v>157</v>
      </c>
      <c r="E447" s="234">
        <v>660</v>
      </c>
      <c r="F447" s="235">
        <v>0</v>
      </c>
      <c r="G447" s="234">
        <f>E447*F447</f>
        <v>0</v>
      </c>
      <c r="H447" s="191"/>
      <c r="I447" s="107"/>
    </row>
    <row r="448" spans="1:9" s="108" customFormat="1" ht="12">
      <c r="A448" s="101"/>
      <c r="B448" s="112" t="s">
        <v>406</v>
      </c>
      <c r="C448" s="148">
        <f>(5.915+3.72)*2+(6.05+5.3)*2+(7.15+5.5)*2</f>
        <v>67.27</v>
      </c>
      <c r="D448" s="148"/>
      <c r="E448" s="149"/>
      <c r="F448" s="149"/>
      <c r="G448" s="111"/>
      <c r="H448" s="107"/>
      <c r="I448" s="107"/>
    </row>
    <row r="449" spans="1:9" s="108" customFormat="1" ht="12">
      <c r="A449" s="101"/>
      <c r="B449" s="112" t="s">
        <v>128</v>
      </c>
      <c r="C449" s="148">
        <f>(2.16+1.325)*2</f>
        <v>6.970000000000001</v>
      </c>
      <c r="D449" s="148"/>
      <c r="E449" s="149"/>
      <c r="F449" s="149"/>
      <c r="G449" s="111"/>
      <c r="H449" s="107"/>
      <c r="I449" s="107"/>
    </row>
    <row r="450" spans="1:9" s="108" customFormat="1" ht="12">
      <c r="A450" s="101"/>
      <c r="B450" s="239" t="s">
        <v>196</v>
      </c>
      <c r="C450" s="148">
        <f>(0.3+0.1+0.4+0.25+0.25+0.4+1.9+0.8+1.023+0.5+0.2+0.25+0.818+2.25+0.81)</f>
        <v>10.251</v>
      </c>
      <c r="D450" s="148"/>
      <c r="E450" s="149"/>
      <c r="F450" s="149"/>
      <c r="G450" s="111"/>
      <c r="H450" s="107"/>
      <c r="I450" s="107"/>
    </row>
    <row r="451" spans="1:9" s="108" customFormat="1" ht="12">
      <c r="A451" s="101"/>
      <c r="B451" s="239"/>
      <c r="C451" s="148">
        <f>(0.2+0.5+0.1+4.5+9.37+4*0.35+1.35+0.645+0.9+1.205+2.3+2.57+1.1+0.7+1.123+0.8+1.6)</f>
        <v>30.363</v>
      </c>
      <c r="D451" s="148"/>
      <c r="E451" s="149"/>
      <c r="F451" s="149"/>
      <c r="G451" s="111"/>
      <c r="H451" s="107"/>
      <c r="I451" s="107"/>
    </row>
    <row r="452" spans="1:9" s="108" customFormat="1" ht="12">
      <c r="A452" s="101"/>
      <c r="B452" s="239" t="s">
        <v>197</v>
      </c>
      <c r="C452" s="148">
        <f>(6.85+2.57+0.5+6+0.35*4+5+0.45*2+2.2+0.15+1.3+3.48+3.3+1.9+0.45*2)</f>
        <v>36.449999999999996</v>
      </c>
      <c r="D452" s="148"/>
      <c r="E452" s="149"/>
      <c r="F452" s="149"/>
      <c r="G452" s="111"/>
      <c r="H452" s="107"/>
      <c r="I452" s="107"/>
    </row>
    <row r="453" spans="1:9" s="108" customFormat="1" ht="12">
      <c r="A453" s="101"/>
      <c r="B453" s="239" t="s">
        <v>407</v>
      </c>
      <c r="C453" s="148">
        <f>(5.88+4.86)*2+(5.88+3.2)*2+(5.89+4.12)*2+(4.5+2.48)*2+(3.2+5.3)*2</f>
        <v>90.62</v>
      </c>
      <c r="D453" s="148"/>
      <c r="E453" s="149"/>
      <c r="F453" s="149"/>
      <c r="G453" s="111"/>
      <c r="H453" s="107"/>
      <c r="I453" s="107"/>
    </row>
    <row r="454" spans="1:9" s="108" customFormat="1" ht="12">
      <c r="A454" s="101"/>
      <c r="B454" s="239" t="s">
        <v>408</v>
      </c>
      <c r="C454" s="148">
        <f>(5.865+3.37)*2+(4.9+4.37)*2</f>
        <v>37.01</v>
      </c>
      <c r="D454" s="148"/>
      <c r="E454" s="149"/>
      <c r="F454" s="149"/>
      <c r="G454" s="111"/>
      <c r="H454" s="107"/>
      <c r="I454" s="107"/>
    </row>
    <row r="455" spans="1:9" s="108" customFormat="1" ht="12">
      <c r="A455" s="101"/>
      <c r="B455" s="239" t="s">
        <v>399</v>
      </c>
      <c r="C455" s="148">
        <f>(4.95+4.595)*2+(2.86+2.97)*2+(4.3+3.09)*2</f>
        <v>45.53</v>
      </c>
      <c r="D455" s="148"/>
      <c r="E455" s="149"/>
      <c r="F455" s="149"/>
      <c r="G455" s="111"/>
      <c r="H455" s="107"/>
      <c r="I455" s="107"/>
    </row>
    <row r="456" spans="1:9" s="108" customFormat="1" ht="12">
      <c r="A456" s="101"/>
      <c r="B456" s="239" t="s">
        <v>409</v>
      </c>
      <c r="C456" s="148">
        <f>(10.67+6.95)*2+6*0.15+1.05+1.05+4*0.4+(1.71+1.5)*2</f>
        <v>46.26</v>
      </c>
      <c r="D456" s="148"/>
      <c r="E456" s="149"/>
      <c r="F456" s="149"/>
      <c r="G456" s="111"/>
      <c r="H456" s="107"/>
      <c r="I456" s="107"/>
    </row>
    <row r="457" spans="1:9" s="108" customFormat="1" ht="12">
      <c r="A457" s="101"/>
      <c r="B457" s="239" t="s">
        <v>401</v>
      </c>
      <c r="C457" s="148">
        <f>(6.06+1.8)*2+(18.47+2.04+4.5+0.35+3.37+1.65+3.37+0.15+0.15+0.25+0.35)</f>
        <v>50.37</v>
      </c>
      <c r="D457" s="148"/>
      <c r="E457" s="149"/>
      <c r="F457" s="149"/>
      <c r="G457" s="111"/>
      <c r="H457" s="107"/>
      <c r="I457" s="107"/>
    </row>
    <row r="458" spans="1:9" s="108" customFormat="1" ht="12">
      <c r="A458" s="101"/>
      <c r="B458" s="239" t="s">
        <v>402</v>
      </c>
      <c r="C458" s="148">
        <f>0.25+0.15+0.6+0.4538+3*0.1+0.6+0.155*2+4.66+1.05+1.535+1.05+2.4</f>
        <v>13.358800000000002</v>
      </c>
      <c r="D458" s="148"/>
      <c r="E458" s="149"/>
      <c r="F458" s="149"/>
      <c r="G458" s="111"/>
      <c r="H458" s="107"/>
      <c r="I458" s="107"/>
    </row>
    <row r="459" spans="1:9" s="108" customFormat="1" ht="12">
      <c r="A459" s="101"/>
      <c r="B459" s="239"/>
      <c r="C459" s="148">
        <f>0.45+0.48+4.5+1.6+4.5+0.12+0.45+0.8+2.43+11.3+4.5+1.65</f>
        <v>32.78</v>
      </c>
      <c r="D459" s="148"/>
      <c r="E459" s="149"/>
      <c r="F459" s="149"/>
      <c r="G459" s="111"/>
      <c r="H459" s="107"/>
      <c r="I459" s="107"/>
    </row>
    <row r="460" spans="1:9" s="108" customFormat="1" ht="12">
      <c r="A460" s="101"/>
      <c r="B460" s="205"/>
      <c r="C460" s="148">
        <f>(8.18+4.545)*2+2.3+2.3+1.9+(4.57+4.3)*2+(4.62+6.47)*2+(4.37+6.47)*2</f>
        <v>93.55000000000001</v>
      </c>
      <c r="D460" s="148"/>
      <c r="E460" s="149"/>
      <c r="F460" s="149"/>
      <c r="G460" s="111"/>
      <c r="H460" s="107"/>
      <c r="I460" s="107"/>
    </row>
    <row r="461" spans="1:9" s="108" customFormat="1" ht="12">
      <c r="A461" s="101"/>
      <c r="B461" s="205"/>
      <c r="C461" s="148">
        <f>(4.725+6.47)*2+(4.33+4.465)*2+(2.025+1.2)*2+(4.25+5.855)*2+0.2+4.2</f>
        <v>71.04000000000002</v>
      </c>
      <c r="D461" s="148"/>
      <c r="E461" s="149"/>
      <c r="F461" s="149"/>
      <c r="G461" s="111"/>
      <c r="H461" s="107"/>
      <c r="I461" s="107"/>
    </row>
    <row r="462" spans="1:9" s="108" customFormat="1" ht="12">
      <c r="A462" s="101"/>
      <c r="B462" s="205"/>
      <c r="C462" s="148">
        <f>(3.37+4.42)*2+(2.47+2.245)*2+(0.75+0.905)*2</f>
        <v>28.319999999999997</v>
      </c>
      <c r="D462" s="148"/>
      <c r="E462" s="149"/>
      <c r="F462" s="149"/>
      <c r="G462" s="111"/>
      <c r="H462" s="107"/>
      <c r="I462" s="107"/>
    </row>
    <row r="463" spans="1:9" s="108" customFormat="1" ht="12">
      <c r="A463" s="101"/>
      <c r="B463" s="205"/>
      <c r="C463" s="148">
        <f>SUM(C448:C462)</f>
        <v>660.1428</v>
      </c>
      <c r="D463" s="148"/>
      <c r="E463" s="149"/>
      <c r="F463" s="149"/>
      <c r="G463" s="111"/>
      <c r="H463" s="107"/>
      <c r="I463" s="107"/>
    </row>
    <row r="464" spans="1:9" s="159" customFormat="1" ht="12">
      <c r="A464" s="152" t="s">
        <v>410</v>
      </c>
      <c r="B464" s="152" t="s">
        <v>411</v>
      </c>
      <c r="C464" s="237" t="s">
        <v>412</v>
      </c>
      <c r="D464" s="195" t="s">
        <v>93</v>
      </c>
      <c r="E464" s="163">
        <v>443.42</v>
      </c>
      <c r="F464" s="144">
        <v>0</v>
      </c>
      <c r="G464" s="164">
        <f>E464*F464</f>
        <v>0</v>
      </c>
      <c r="H464" s="196"/>
      <c r="I464" s="158"/>
    </row>
    <row r="465" spans="1:9" s="159" customFormat="1" ht="12">
      <c r="A465" s="152"/>
      <c r="B465" s="152" t="s">
        <v>95</v>
      </c>
      <c r="C465" s="161">
        <f>(28.3+54+20.7+28.4+5.2+4.2+1.4+1.6+1.7+6.5+6.3+2.8+11.9+12.5+15.2)</f>
        <v>200.7</v>
      </c>
      <c r="D465" s="195"/>
      <c r="E465" s="163"/>
      <c r="F465" s="144"/>
      <c r="G465" s="164"/>
      <c r="H465" s="196"/>
      <c r="I465" s="158"/>
    </row>
    <row r="466" spans="1:9" s="159" customFormat="1" ht="12">
      <c r="A466" s="152"/>
      <c r="B466" s="152"/>
      <c r="C466" s="161">
        <f>(1.6+1.8+3.8+1.6+14.4+8+10.1+2.6)</f>
        <v>43.900000000000006</v>
      </c>
      <c r="D466" s="195"/>
      <c r="E466" s="163"/>
      <c r="F466" s="144"/>
      <c r="G466" s="164"/>
      <c r="H466" s="196"/>
      <c r="I466" s="158"/>
    </row>
    <row r="467" spans="1:9" s="159" customFormat="1" ht="12">
      <c r="A467" s="152"/>
      <c r="B467" s="152" t="s">
        <v>97</v>
      </c>
      <c r="C467" s="161">
        <f>(1.4+6.7+1.3+1.92+0.7)</f>
        <v>12.02</v>
      </c>
      <c r="D467" s="195"/>
      <c r="E467" s="163"/>
      <c r="F467" s="144"/>
      <c r="G467" s="164"/>
      <c r="H467" s="196"/>
      <c r="I467" s="158"/>
    </row>
    <row r="468" spans="1:9" s="159" customFormat="1" ht="12">
      <c r="A468" s="152"/>
      <c r="B468" s="152" t="s">
        <v>99</v>
      </c>
      <c r="C468" s="161">
        <f>(4.4+74.1+41.9+19.3+14.9+3.9+10.9+1.3+1.3+6.1+6.7+1.3+0.7)</f>
        <v>186.80000000000004</v>
      </c>
      <c r="D468" s="195"/>
      <c r="E468" s="163"/>
      <c r="F468" s="144"/>
      <c r="G468" s="164"/>
      <c r="H468" s="196"/>
      <c r="I468" s="158"/>
    </row>
    <row r="469" spans="1:9" s="159" customFormat="1" ht="12">
      <c r="A469" s="152"/>
      <c r="B469" s="152"/>
      <c r="C469" s="161">
        <f>SUM(C465:C468)</f>
        <v>443.4200000000001</v>
      </c>
      <c r="D469" s="195"/>
      <c r="E469" s="163"/>
      <c r="F469" s="144"/>
      <c r="G469" s="164"/>
      <c r="H469" s="196"/>
      <c r="I469" s="158"/>
    </row>
    <row r="470" spans="1:9" s="159" customFormat="1" ht="12">
      <c r="A470" s="152" t="s">
        <v>413</v>
      </c>
      <c r="B470" s="152" t="s">
        <v>414</v>
      </c>
      <c r="C470" s="237" t="s">
        <v>415</v>
      </c>
      <c r="D470" s="195" t="s">
        <v>93</v>
      </c>
      <c r="E470" s="163">
        <v>3190.76</v>
      </c>
      <c r="F470" s="144">
        <v>0</v>
      </c>
      <c r="G470" s="164">
        <f>E470*F470</f>
        <v>0</v>
      </c>
      <c r="H470" s="196"/>
      <c r="I470" s="158"/>
    </row>
    <row r="471" spans="1:9" s="170" customFormat="1" ht="12">
      <c r="A471" s="165"/>
      <c r="B471" s="153" t="s">
        <v>191</v>
      </c>
      <c r="C471" s="154">
        <f>(2.3+3.2)*2*2.91</f>
        <v>32.010000000000005</v>
      </c>
      <c r="D471" s="166"/>
      <c r="E471" s="167"/>
      <c r="F471" s="167"/>
      <c r="G471" s="168"/>
      <c r="H471" s="169"/>
      <c r="I471" s="169"/>
    </row>
    <row r="472" spans="1:7" ht="12">
      <c r="A472" s="113"/>
      <c r="B472" s="112" t="s">
        <v>211</v>
      </c>
      <c r="C472" s="171">
        <f>(6.17+4.5)*2*2.9</f>
        <v>61.885999999999996</v>
      </c>
      <c r="D472" s="172"/>
      <c r="E472" s="173"/>
      <c r="F472" s="173"/>
      <c r="G472" s="117"/>
    </row>
    <row r="473" spans="1:7" ht="12">
      <c r="A473" s="113"/>
      <c r="B473" s="112"/>
      <c r="C473" s="171">
        <f>(3.1+1.9)*2*2.91</f>
        <v>29.1</v>
      </c>
      <c r="D473" s="172"/>
      <c r="E473" s="173"/>
      <c r="F473" s="173"/>
      <c r="G473" s="117"/>
    </row>
    <row r="474" spans="1:7" ht="12">
      <c r="A474" s="113"/>
      <c r="B474" s="112" t="s">
        <v>158</v>
      </c>
      <c r="C474" s="171">
        <f>(2.2+2.54+8+1.7+1.7+4.6+1.8+5.89+7.5+1.3)*2.91</f>
        <v>108.33930000000002</v>
      </c>
      <c r="D474" s="172"/>
      <c r="E474" s="173"/>
      <c r="F474" s="173"/>
      <c r="G474" s="117"/>
    </row>
    <row r="475" spans="1:9" s="108" customFormat="1" ht="12">
      <c r="A475" s="113"/>
      <c r="B475" s="112"/>
      <c r="C475" s="171">
        <f>(2.75+4.5+1.3+0.45+2.1+1.6+1.85+3+1.85+2.9+1.2+2.15+1.5+4.7)*2.91</f>
        <v>92.68349999999998</v>
      </c>
      <c r="D475" s="172"/>
      <c r="E475" s="173"/>
      <c r="F475" s="173"/>
      <c r="G475" s="117"/>
      <c r="H475" s="107"/>
      <c r="I475" s="107"/>
    </row>
    <row r="476" spans="1:7" ht="12">
      <c r="A476" s="101"/>
      <c r="B476" s="112" t="s">
        <v>116</v>
      </c>
      <c r="C476" s="171">
        <f>(5.915+3.37)*2*2.91</f>
        <v>54.038700000000006</v>
      </c>
      <c r="D476" s="148"/>
      <c r="E476" s="149"/>
      <c r="F476" s="149"/>
      <c r="G476" s="111"/>
    </row>
    <row r="477" spans="1:7" ht="12">
      <c r="A477" s="113"/>
      <c r="B477" s="112" t="s">
        <v>117</v>
      </c>
      <c r="C477" s="171">
        <f>(6.05+5.3)*2*2.91</f>
        <v>66.057</v>
      </c>
      <c r="D477" s="172"/>
      <c r="E477" s="173"/>
      <c r="F477" s="173"/>
      <c r="G477" s="117"/>
    </row>
    <row r="478" spans="1:7" ht="12">
      <c r="A478" s="113"/>
      <c r="B478" s="112" t="s">
        <v>126</v>
      </c>
      <c r="C478" s="171">
        <f>(2.45+2.1)*2*1.41</f>
        <v>12.831000000000003</v>
      </c>
      <c r="D478" s="172"/>
      <c r="E478" s="173"/>
      <c r="F478" s="173"/>
      <c r="G478" s="117"/>
    </row>
    <row r="479" spans="1:7" ht="12">
      <c r="A479" s="113"/>
      <c r="B479" s="112" t="s">
        <v>127</v>
      </c>
      <c r="C479" s="171">
        <f>(2+2.1)*2*1.41</f>
        <v>11.562</v>
      </c>
      <c r="D479" s="172"/>
      <c r="E479" s="173"/>
      <c r="F479" s="173"/>
      <c r="G479" s="117"/>
    </row>
    <row r="480" spans="1:7" ht="12">
      <c r="A480" s="113"/>
      <c r="B480" s="112" t="s">
        <v>212</v>
      </c>
      <c r="C480" s="171">
        <f>(2+1.85)*2*2.91+(2.35+2)*2*2.91+(3.44+0.95)*2*1.41</f>
        <v>60.10380000000001</v>
      </c>
      <c r="D480" s="172"/>
      <c r="E480" s="173"/>
      <c r="F480" s="173"/>
      <c r="G480" s="117"/>
    </row>
    <row r="481" spans="1:7" ht="12">
      <c r="A481" s="113"/>
      <c r="B481" s="112" t="s">
        <v>111</v>
      </c>
      <c r="C481" s="171">
        <f>(1.29+0.9)*2*1.4</f>
        <v>6.132</v>
      </c>
      <c r="D481" s="172"/>
      <c r="E481" s="173"/>
      <c r="F481" s="173"/>
      <c r="G481" s="117"/>
    </row>
    <row r="482" spans="1:7" ht="12">
      <c r="A482" s="113"/>
      <c r="B482" s="112" t="s">
        <v>213</v>
      </c>
      <c r="C482" s="171">
        <f>(1.8+0.9)*2*1.4</f>
        <v>7.56</v>
      </c>
      <c r="D482" s="172"/>
      <c r="E482" s="173"/>
      <c r="F482" s="173"/>
      <c r="G482" s="117"/>
    </row>
    <row r="483" spans="1:7" ht="12">
      <c r="A483" s="113"/>
      <c r="B483" s="112" t="s">
        <v>252</v>
      </c>
      <c r="C483" s="171">
        <f>(1.58+1.1)*2*1.41</f>
        <v>7.557600000000002</v>
      </c>
      <c r="D483" s="172"/>
      <c r="E483" s="173"/>
      <c r="F483" s="173"/>
      <c r="G483" s="117"/>
    </row>
    <row r="484" spans="1:7" ht="12">
      <c r="A484" s="113"/>
      <c r="B484" s="112" t="s">
        <v>253</v>
      </c>
      <c r="C484" s="171">
        <f>(2.28+2.3)*2*2.91</f>
        <v>26.655600000000003</v>
      </c>
      <c r="D484" s="172"/>
      <c r="E484" s="173"/>
      <c r="F484" s="173"/>
      <c r="G484" s="117"/>
    </row>
    <row r="485" spans="1:7" ht="12">
      <c r="A485" s="113"/>
      <c r="B485" s="112" t="s">
        <v>254</v>
      </c>
      <c r="C485" s="171">
        <f>(1.55+2)*2*2.91</f>
        <v>20.661</v>
      </c>
      <c r="D485" s="172"/>
      <c r="E485" s="173"/>
      <c r="F485" s="173"/>
      <c r="G485" s="117"/>
    </row>
    <row r="486" spans="1:9" s="108" customFormat="1" ht="12">
      <c r="A486" s="113"/>
      <c r="B486" s="112" t="s">
        <v>214</v>
      </c>
      <c r="C486" s="171">
        <f>(5.89+2)*2*2.91+1.35*2.91</f>
        <v>49.8483</v>
      </c>
      <c r="D486" s="172"/>
      <c r="E486" s="173"/>
      <c r="F486" s="173"/>
      <c r="G486" s="117"/>
      <c r="H486" s="107"/>
      <c r="I486" s="107"/>
    </row>
    <row r="487" spans="1:7" ht="12">
      <c r="A487" s="101"/>
      <c r="B487" s="197" t="s">
        <v>215</v>
      </c>
      <c r="C487" s="105">
        <f>(4.32+2.9)*2*2.91</f>
        <v>42.02040000000001</v>
      </c>
      <c r="D487" s="198"/>
      <c r="E487" s="199"/>
      <c r="F487" s="145"/>
      <c r="G487" s="200"/>
    </row>
    <row r="488" spans="1:7" ht="12">
      <c r="A488" s="113"/>
      <c r="B488" s="112" t="s">
        <v>118</v>
      </c>
      <c r="C488" s="171">
        <f>(5.5+7.15)*2*2.6</f>
        <v>65.78</v>
      </c>
      <c r="D488" s="172"/>
      <c r="E488" s="173"/>
      <c r="F488" s="173"/>
      <c r="G488" s="117"/>
    </row>
    <row r="489" spans="1:7" ht="12">
      <c r="A489" s="113"/>
      <c r="B489" s="112" t="s">
        <v>255</v>
      </c>
      <c r="C489" s="171">
        <f>(5.65+3.05)*2*1.41</f>
        <v>24.534</v>
      </c>
      <c r="D489" s="172"/>
      <c r="E489" s="173"/>
      <c r="F489" s="173"/>
      <c r="G489" s="117"/>
    </row>
    <row r="490" spans="1:7" ht="12">
      <c r="A490" s="113"/>
      <c r="B490" s="112" t="s">
        <v>256</v>
      </c>
      <c r="C490" s="171">
        <f>(1.5+1)*2*2.91</f>
        <v>14.55</v>
      </c>
      <c r="D490" s="172"/>
      <c r="E490" s="173"/>
      <c r="F490" s="173"/>
      <c r="G490" s="117"/>
    </row>
    <row r="491" spans="1:7" ht="12">
      <c r="A491" s="113"/>
      <c r="B491" s="112" t="s">
        <v>257</v>
      </c>
      <c r="C491" s="171">
        <f>(1.5+1.23)*2*2.91</f>
        <v>15.8886</v>
      </c>
      <c r="D491" s="172"/>
      <c r="E491" s="173"/>
      <c r="F491" s="173"/>
      <c r="G491" s="117"/>
    </row>
    <row r="492" spans="1:7" ht="12">
      <c r="A492" s="113"/>
      <c r="B492" s="112" t="s">
        <v>216</v>
      </c>
      <c r="C492" s="171">
        <f>(2.11+1.1)*2*0.81</f>
        <v>5.200200000000001</v>
      </c>
      <c r="D492" s="172"/>
      <c r="E492" s="173"/>
      <c r="F492" s="173"/>
      <c r="G492" s="117"/>
    </row>
    <row r="493" spans="1:7" ht="12">
      <c r="A493" s="113"/>
      <c r="B493" s="112" t="s">
        <v>258</v>
      </c>
      <c r="C493" s="171">
        <f>(2.11+1.1)*2*2.91</f>
        <v>18.6822</v>
      </c>
      <c r="D493" s="172"/>
      <c r="E493" s="173"/>
      <c r="F493" s="173"/>
      <c r="G493" s="117"/>
    </row>
    <row r="494" spans="1:7" ht="12">
      <c r="A494" s="113"/>
      <c r="B494" s="112" t="s">
        <v>259</v>
      </c>
      <c r="C494" s="171">
        <f>(1.15+1.2)*2*2.91+(1.75+3.05)*2*2.91</f>
        <v>41.613</v>
      </c>
      <c r="D494" s="172"/>
      <c r="E494" s="173"/>
      <c r="F494" s="173"/>
      <c r="G494" s="117"/>
    </row>
    <row r="495" spans="1:7" ht="12">
      <c r="A495" s="113"/>
      <c r="B495" s="112" t="s">
        <v>260</v>
      </c>
      <c r="C495" s="171">
        <f>(4.47+2.15)*2*2.6</f>
        <v>34.424</v>
      </c>
      <c r="D495" s="172"/>
      <c r="E495" s="173"/>
      <c r="F495" s="173"/>
      <c r="G495" s="117"/>
    </row>
    <row r="496" spans="1:7" ht="12">
      <c r="A496" s="113"/>
      <c r="B496" s="112" t="s">
        <v>261</v>
      </c>
      <c r="C496" s="171">
        <f>(2.42+2.28)*2*0.81</f>
        <v>7.614000000000001</v>
      </c>
      <c r="D496" s="172"/>
      <c r="E496" s="173"/>
      <c r="F496" s="173"/>
      <c r="G496" s="117"/>
    </row>
    <row r="497" spans="1:7" ht="12">
      <c r="A497" s="113"/>
      <c r="B497" s="112" t="s">
        <v>128</v>
      </c>
      <c r="C497" s="171">
        <f>(1.325+2.16)*2*2.6</f>
        <v>18.122000000000003</v>
      </c>
      <c r="D497" s="172"/>
      <c r="E497" s="173"/>
      <c r="F497" s="173"/>
      <c r="G497" s="117"/>
    </row>
    <row r="498" spans="1:7" ht="12">
      <c r="A498" s="113"/>
      <c r="B498" s="112" t="s">
        <v>196</v>
      </c>
      <c r="C498" s="171">
        <f>(9.37+4.5)*2*3.6</f>
        <v>99.86399999999999</v>
      </c>
      <c r="D498" s="172"/>
      <c r="E498" s="173"/>
      <c r="F498" s="173"/>
      <c r="G498" s="117"/>
    </row>
    <row r="499" spans="1:7" ht="12">
      <c r="A499" s="113"/>
      <c r="B499" s="112"/>
      <c r="C499" s="171">
        <f>(1.35+0.645+0.9+1.205+2.3)*3.6</f>
        <v>23.04</v>
      </c>
      <c r="D499" s="172"/>
      <c r="E499" s="173"/>
      <c r="F499" s="173"/>
      <c r="G499" s="117"/>
    </row>
    <row r="500" spans="1:7" ht="12">
      <c r="A500" s="113"/>
      <c r="B500" s="112"/>
      <c r="C500" s="171">
        <f>(3.5+1.81)*2*3.6</f>
        <v>38.232000000000006</v>
      </c>
      <c r="D500" s="172"/>
      <c r="E500" s="173"/>
      <c r="F500" s="173"/>
      <c r="G500" s="117"/>
    </row>
    <row r="501" spans="1:7" ht="12">
      <c r="A501" s="113"/>
      <c r="B501" s="112"/>
      <c r="C501" s="171">
        <f>(2.6+0.815)*2*3.6</f>
        <v>24.588</v>
      </c>
      <c r="D501" s="172"/>
      <c r="E501" s="173"/>
      <c r="F501" s="173"/>
      <c r="G501" s="117"/>
    </row>
    <row r="502" spans="1:7" ht="12">
      <c r="A502" s="113"/>
      <c r="B502" s="112" t="s">
        <v>197</v>
      </c>
      <c r="C502" s="171">
        <f>(6.65+2.57)*2*3.4</f>
        <v>62.696000000000005</v>
      </c>
      <c r="D502" s="172"/>
      <c r="E502" s="173"/>
      <c r="F502" s="173"/>
      <c r="G502" s="117"/>
    </row>
    <row r="503" spans="1:7" ht="12">
      <c r="A503" s="113"/>
      <c r="B503" s="112"/>
      <c r="C503" s="171">
        <f>(6.4+3.5)*2*3.4</f>
        <v>67.32000000000001</v>
      </c>
      <c r="D503" s="172"/>
      <c r="E503" s="173"/>
      <c r="F503" s="173"/>
      <c r="G503" s="117"/>
    </row>
    <row r="504" spans="1:7" ht="12">
      <c r="A504" s="113"/>
      <c r="B504" s="112" t="s">
        <v>198</v>
      </c>
      <c r="C504" s="171">
        <f>(10.2+2.54)*2*3.4</f>
        <v>86.63199999999999</v>
      </c>
      <c r="D504" s="172"/>
      <c r="E504" s="173"/>
      <c r="F504" s="173"/>
      <c r="G504" s="117"/>
    </row>
    <row r="505" spans="1:7" ht="12">
      <c r="A505" s="113"/>
      <c r="B505" s="112"/>
      <c r="C505" s="171">
        <f>(1.89+1.1)*2*3.4</f>
        <v>20.332</v>
      </c>
      <c r="D505" s="172"/>
      <c r="E505" s="173"/>
      <c r="F505" s="173"/>
      <c r="G505" s="117"/>
    </row>
    <row r="506" spans="1:7" ht="12">
      <c r="A506" s="113"/>
      <c r="B506" s="112" t="s">
        <v>238</v>
      </c>
      <c r="C506" s="171">
        <f>(5.88+4.86)*2*3.4</f>
        <v>73.032</v>
      </c>
      <c r="D506" s="172"/>
      <c r="E506" s="173"/>
      <c r="F506" s="173"/>
      <c r="G506" s="117"/>
    </row>
    <row r="507" spans="1:7" ht="12">
      <c r="A507" s="113"/>
      <c r="B507" s="112" t="s">
        <v>262</v>
      </c>
      <c r="C507" s="171">
        <f>(3.2+5.88)*2*3.4</f>
        <v>61.744</v>
      </c>
      <c r="D507" s="172"/>
      <c r="E507" s="173"/>
      <c r="F507" s="173"/>
      <c r="G507" s="117"/>
    </row>
    <row r="508" spans="1:7" ht="12">
      <c r="A508" s="113"/>
      <c r="B508" s="112" t="s">
        <v>199</v>
      </c>
      <c r="C508" s="171">
        <f>(5.89+4.12)*2*3.4+(2.94*3.4)</f>
        <v>78.064</v>
      </c>
      <c r="D508" s="172"/>
      <c r="E508" s="173"/>
      <c r="F508" s="173"/>
      <c r="G508" s="117"/>
    </row>
    <row r="509" spans="1:7" ht="12">
      <c r="A509" s="113"/>
      <c r="B509" s="112" t="s">
        <v>263</v>
      </c>
      <c r="C509" s="171">
        <f>(4.5+2.48)*2*3.4</f>
        <v>47.464</v>
      </c>
      <c r="D509" s="172"/>
      <c r="E509" s="173"/>
      <c r="F509" s="173"/>
      <c r="G509" s="117"/>
    </row>
    <row r="510" spans="1:7" ht="12">
      <c r="A510" s="113"/>
      <c r="B510" s="112" t="s">
        <v>217</v>
      </c>
      <c r="C510" s="171">
        <f>(5.3+3.2)*2*3.4+(2.3+0.89)*2*3.4</f>
        <v>79.49199999999999</v>
      </c>
      <c r="D510" s="172"/>
      <c r="E510" s="173"/>
      <c r="F510" s="173"/>
      <c r="G510" s="117"/>
    </row>
    <row r="511" spans="1:7" ht="12">
      <c r="A511" s="113"/>
      <c r="B511" s="112" t="s">
        <v>264</v>
      </c>
      <c r="C511" s="171">
        <f>(5.865+3.37)*2*3.4</f>
        <v>62.797999999999995</v>
      </c>
      <c r="D511" s="172"/>
      <c r="E511" s="173"/>
      <c r="F511" s="173"/>
      <c r="G511" s="117"/>
    </row>
    <row r="512" spans="1:7" ht="12">
      <c r="A512" s="113"/>
      <c r="B512" s="112" t="s">
        <v>239</v>
      </c>
      <c r="C512" s="171">
        <f>(4.9+4.37)*2*3.4</f>
        <v>63.035999999999994</v>
      </c>
      <c r="D512" s="172"/>
      <c r="E512" s="173"/>
      <c r="F512" s="173"/>
      <c r="G512" s="117"/>
    </row>
    <row r="513" spans="1:7" ht="12">
      <c r="A513" s="113"/>
      <c r="B513" s="112" t="s">
        <v>119</v>
      </c>
      <c r="C513" s="171">
        <f>(1.9+1.83)*2*1.3</f>
        <v>9.698</v>
      </c>
      <c r="D513" s="172"/>
      <c r="E513" s="173"/>
      <c r="F513" s="173"/>
      <c r="G513" s="117"/>
    </row>
    <row r="514" spans="1:7" ht="12">
      <c r="A514" s="113"/>
      <c r="B514" s="112"/>
      <c r="C514" s="171">
        <f>(1.71+1.27)*2*1.3</f>
        <v>7.748</v>
      </c>
      <c r="D514" s="172"/>
      <c r="E514" s="173"/>
      <c r="F514" s="173"/>
      <c r="G514" s="117"/>
    </row>
    <row r="515" spans="1:7" ht="12">
      <c r="A515" s="113"/>
      <c r="B515" s="112" t="s">
        <v>120</v>
      </c>
      <c r="C515" s="171">
        <f>(1.95+2.97)*2*1.3</f>
        <v>12.792</v>
      </c>
      <c r="D515" s="172"/>
      <c r="E515" s="173"/>
      <c r="F515" s="173"/>
      <c r="G515" s="117"/>
    </row>
    <row r="516" spans="1:7" ht="12">
      <c r="A516" s="113"/>
      <c r="B516" s="112" t="s">
        <v>218</v>
      </c>
      <c r="C516" s="171">
        <f>(4.95+4.595)*2*3.4</f>
        <v>64.90599999999999</v>
      </c>
      <c r="D516" s="172"/>
      <c r="E516" s="173"/>
      <c r="F516" s="173"/>
      <c r="G516" s="117"/>
    </row>
    <row r="517" spans="1:7" ht="12">
      <c r="A517" s="113"/>
      <c r="B517" s="112" t="s">
        <v>121</v>
      </c>
      <c r="C517" s="171">
        <f>(3.6+1.2)*2*1.3</f>
        <v>12.48</v>
      </c>
      <c r="D517" s="172"/>
      <c r="E517" s="173"/>
      <c r="F517" s="173"/>
      <c r="G517" s="117"/>
    </row>
    <row r="518" spans="1:7" ht="12">
      <c r="A518" s="113"/>
      <c r="B518" s="112" t="s">
        <v>219</v>
      </c>
      <c r="C518" s="171">
        <f>(1.2+1.89)*2*1.3</f>
        <v>8.034</v>
      </c>
      <c r="D518" s="172"/>
      <c r="E518" s="173"/>
      <c r="F518" s="173"/>
      <c r="G518" s="117"/>
    </row>
    <row r="519" spans="1:7" ht="12">
      <c r="A519" s="113"/>
      <c r="B519" s="112" t="s">
        <v>265</v>
      </c>
      <c r="C519" s="171">
        <f>(1.65+0.89)*2*1.9</f>
        <v>9.652</v>
      </c>
      <c r="D519" s="172"/>
      <c r="E519" s="173"/>
      <c r="F519" s="173"/>
      <c r="G519" s="117"/>
    </row>
    <row r="520" spans="1:7" ht="12">
      <c r="A520" s="113"/>
      <c r="B520" s="112" t="s">
        <v>220</v>
      </c>
      <c r="C520" s="171">
        <f>(2.4+1.86)*2*1.3</f>
        <v>11.076</v>
      </c>
      <c r="D520" s="172"/>
      <c r="E520" s="173"/>
      <c r="F520" s="173"/>
      <c r="G520" s="117"/>
    </row>
    <row r="521" spans="1:7" ht="12">
      <c r="A521" s="113"/>
      <c r="B521" s="112" t="s">
        <v>266</v>
      </c>
      <c r="C521" s="171">
        <f>(2.86+2.97)*2*3.65</f>
        <v>42.559</v>
      </c>
      <c r="D521" s="172"/>
      <c r="E521" s="173"/>
      <c r="F521" s="173"/>
      <c r="G521" s="117"/>
    </row>
    <row r="522" spans="1:7" ht="12">
      <c r="A522" s="113"/>
      <c r="B522" s="112" t="s">
        <v>159</v>
      </c>
      <c r="C522" s="171">
        <f>(3.09+4.3)*2*3.4</f>
        <v>50.251999999999995</v>
      </c>
      <c r="D522" s="172"/>
      <c r="E522" s="173"/>
      <c r="F522" s="173"/>
      <c r="G522" s="117"/>
    </row>
    <row r="523" spans="1:7" ht="12">
      <c r="A523" s="113"/>
      <c r="B523" s="112" t="s">
        <v>201</v>
      </c>
      <c r="C523" s="171">
        <f>(10.67+6.95)*2*3.5</f>
        <v>123.34</v>
      </c>
      <c r="D523" s="172"/>
      <c r="E523" s="173"/>
      <c r="F523" s="173"/>
      <c r="G523" s="117"/>
    </row>
    <row r="524" spans="1:7" ht="12">
      <c r="A524" s="113"/>
      <c r="B524" s="112" t="s">
        <v>221</v>
      </c>
      <c r="C524" s="171">
        <f>(1.71+1.5)*2*3.4</f>
        <v>21.828</v>
      </c>
      <c r="D524" s="172"/>
      <c r="E524" s="173"/>
      <c r="F524" s="173"/>
      <c r="G524" s="117"/>
    </row>
    <row r="525" spans="1:7" ht="12">
      <c r="A525" s="113"/>
      <c r="B525" s="112" t="s">
        <v>267</v>
      </c>
      <c r="C525" s="171">
        <f>(1.25+1)*2*3.65</f>
        <v>16.425</v>
      </c>
      <c r="D525" s="172"/>
      <c r="E525" s="173"/>
      <c r="F525" s="173"/>
      <c r="G525" s="117"/>
    </row>
    <row r="526" spans="1:7" ht="12">
      <c r="A526" s="113"/>
      <c r="B526" s="112" t="s">
        <v>268</v>
      </c>
      <c r="C526" s="171">
        <f>(0.75+0.905)*2*3.6</f>
        <v>11.916</v>
      </c>
      <c r="D526" s="172"/>
      <c r="E526" s="173"/>
      <c r="F526" s="173"/>
      <c r="G526" s="117"/>
    </row>
    <row r="527" spans="1:9" s="108" customFormat="1" ht="12">
      <c r="A527" s="113"/>
      <c r="B527" s="112" t="s">
        <v>122</v>
      </c>
      <c r="C527" s="171">
        <f>(6.06+1.8)*2*2.6</f>
        <v>40.872</v>
      </c>
      <c r="D527" s="172"/>
      <c r="E527" s="173"/>
      <c r="F527" s="173"/>
      <c r="G527" s="117"/>
      <c r="H527" s="151"/>
      <c r="I527" s="107"/>
    </row>
    <row r="528" spans="1:9" s="108" customFormat="1" ht="12">
      <c r="A528" s="101"/>
      <c r="B528" s="106" t="s">
        <v>222</v>
      </c>
      <c r="C528" s="105">
        <f>(18.47+12.96)*2*2.6</f>
        <v>163.436</v>
      </c>
      <c r="D528" s="104"/>
      <c r="E528" s="199"/>
      <c r="F528" s="145"/>
      <c r="G528" s="200"/>
      <c r="H528" s="151"/>
      <c r="I528" s="107"/>
    </row>
    <row r="529" spans="1:9" s="108" customFormat="1" ht="12">
      <c r="A529" s="101"/>
      <c r="B529" s="101"/>
      <c r="C529" s="105">
        <f>(3.72+1.65)*2*2.6</f>
        <v>27.923999999999996</v>
      </c>
      <c r="D529" s="104"/>
      <c r="E529" s="199"/>
      <c r="F529" s="145"/>
      <c r="G529" s="200"/>
      <c r="H529" s="151"/>
      <c r="I529" s="107"/>
    </row>
    <row r="530" spans="1:9" s="108" customFormat="1" ht="12">
      <c r="A530" s="101"/>
      <c r="B530" s="101"/>
      <c r="C530" s="105">
        <f>(4.595+1.6)*2*2.6</f>
        <v>32.214000000000006</v>
      </c>
      <c r="D530" s="104"/>
      <c r="E530" s="199"/>
      <c r="F530" s="145"/>
      <c r="G530" s="200"/>
      <c r="H530" s="151"/>
      <c r="I530" s="107"/>
    </row>
    <row r="531" spans="1:7" ht="12">
      <c r="A531" s="101"/>
      <c r="B531" s="101"/>
      <c r="C531" s="105">
        <f>(1.8+1)*2*2.6+(1.02+1.055)*2.6</f>
        <v>19.955</v>
      </c>
      <c r="D531" s="104"/>
      <c r="E531" s="199"/>
      <c r="F531" s="145"/>
      <c r="G531" s="200"/>
    </row>
    <row r="532" spans="1:7" ht="12">
      <c r="A532" s="113"/>
      <c r="B532" s="112" t="s">
        <v>223</v>
      </c>
      <c r="C532" s="171">
        <f>(8.18+4.545)*2*3.6+(6.35*3.6)</f>
        <v>114.48</v>
      </c>
      <c r="D532" s="172"/>
      <c r="E532" s="173"/>
      <c r="F532" s="173"/>
      <c r="G532" s="117"/>
    </row>
    <row r="533" spans="1:7" ht="12">
      <c r="A533" s="113"/>
      <c r="B533" s="112" t="s">
        <v>269</v>
      </c>
      <c r="C533" s="171">
        <f>(4.3+4.57)*2*2.6+(1.8+1.2)*2*2.6</f>
        <v>61.72400000000001</v>
      </c>
      <c r="D533" s="172"/>
      <c r="E533" s="173"/>
      <c r="F533" s="173"/>
      <c r="G533" s="117"/>
    </row>
    <row r="534" spans="1:7" ht="12">
      <c r="A534" s="113"/>
      <c r="B534" s="112" t="s">
        <v>270</v>
      </c>
      <c r="C534" s="171">
        <f>(4.62+6.47)*2*2.6</f>
        <v>57.668</v>
      </c>
      <c r="D534" s="172"/>
      <c r="E534" s="173"/>
      <c r="F534" s="173"/>
      <c r="G534" s="117"/>
    </row>
    <row r="535" spans="1:7" ht="12">
      <c r="A535" s="113"/>
      <c r="B535" s="112" t="s">
        <v>271</v>
      </c>
      <c r="C535" s="171">
        <f>(4.37+4.57)*2*2.6+(1.75+1.2)*2*2.6</f>
        <v>61.82800000000001</v>
      </c>
      <c r="D535" s="172"/>
      <c r="E535" s="173"/>
      <c r="F535" s="173"/>
      <c r="G535" s="117"/>
    </row>
    <row r="536" spans="1:7" ht="12">
      <c r="A536" s="113"/>
      <c r="B536" s="112" t="s">
        <v>272</v>
      </c>
      <c r="C536" s="171">
        <f>(6.47+4.725)*2*2.6</f>
        <v>58.214000000000006</v>
      </c>
      <c r="D536" s="172"/>
      <c r="E536" s="173"/>
      <c r="F536" s="173"/>
      <c r="G536" s="117"/>
    </row>
    <row r="537" spans="1:7" ht="12">
      <c r="A537" s="113"/>
      <c r="B537" s="112" t="s">
        <v>273</v>
      </c>
      <c r="C537" s="171">
        <f>(4.555+4.515)*2*2.6</f>
        <v>47.164</v>
      </c>
      <c r="D537" s="172"/>
      <c r="E537" s="173"/>
      <c r="F537" s="173"/>
      <c r="G537" s="117"/>
    </row>
    <row r="538" spans="1:7" ht="12">
      <c r="A538" s="113"/>
      <c r="B538" s="112" t="s">
        <v>274</v>
      </c>
      <c r="C538" s="171">
        <f>(4.33+4.465)*2*2.6+(2.025+1.2)*2*2.6</f>
        <v>62.504000000000005</v>
      </c>
      <c r="D538" s="172"/>
      <c r="E538" s="173"/>
      <c r="F538" s="173"/>
      <c r="G538" s="117"/>
    </row>
    <row r="539" spans="1:7" ht="12">
      <c r="A539" s="113"/>
      <c r="B539" s="112" t="s">
        <v>202</v>
      </c>
      <c r="C539" s="171">
        <f>(4.45+5.822)*2*2.71+(1*4+0.1*2)*2.71</f>
        <v>67.05624</v>
      </c>
      <c r="D539" s="172"/>
      <c r="E539" s="173"/>
      <c r="F539" s="173"/>
      <c r="G539" s="117"/>
    </row>
    <row r="540" spans="1:7" ht="12">
      <c r="A540" s="113"/>
      <c r="B540" s="112" t="s">
        <v>224</v>
      </c>
      <c r="C540" s="171">
        <f>(4.42+3.37)*2*3.14</f>
        <v>48.9212</v>
      </c>
      <c r="D540" s="172"/>
      <c r="E540" s="173"/>
      <c r="F540" s="173"/>
      <c r="G540" s="117"/>
    </row>
    <row r="541" spans="1:7" ht="12">
      <c r="A541" s="113"/>
      <c r="B541" s="112" t="s">
        <v>275</v>
      </c>
      <c r="C541" s="171">
        <f>(1.74+1.75)*2*0.5</f>
        <v>3.49</v>
      </c>
      <c r="D541" s="172"/>
      <c r="E541" s="173"/>
      <c r="F541" s="173"/>
      <c r="G541" s="117"/>
    </row>
    <row r="542" spans="1:7" ht="12">
      <c r="A542" s="113"/>
      <c r="B542" s="112" t="s">
        <v>133</v>
      </c>
      <c r="C542" s="171">
        <f>(1.93+1.6)*2*0.5</f>
        <v>3.5300000000000002</v>
      </c>
      <c r="D542" s="172"/>
      <c r="E542" s="173"/>
      <c r="F542" s="173"/>
      <c r="G542" s="117"/>
    </row>
    <row r="543" spans="1:7" ht="12">
      <c r="A543" s="113"/>
      <c r="B543" s="112" t="s">
        <v>134</v>
      </c>
      <c r="C543" s="171">
        <f>(2.11+1.6)*2*0.5</f>
        <v>3.71</v>
      </c>
      <c r="D543" s="172"/>
      <c r="E543" s="173"/>
      <c r="F543" s="173"/>
      <c r="G543" s="117"/>
    </row>
    <row r="544" spans="1:7" ht="12">
      <c r="A544" s="113"/>
      <c r="B544" s="112" t="s">
        <v>135</v>
      </c>
      <c r="C544" s="171">
        <f>(1.9+1.6)*2*0.5</f>
        <v>3.5</v>
      </c>
      <c r="D544" s="172"/>
      <c r="E544" s="173"/>
      <c r="F544" s="173"/>
      <c r="G544" s="117"/>
    </row>
    <row r="545" spans="1:7" ht="12">
      <c r="A545" s="113"/>
      <c r="B545" s="112" t="s">
        <v>232</v>
      </c>
      <c r="C545" s="171">
        <f>(2.025+2.025)*2*0.5</f>
        <v>4.05</v>
      </c>
      <c r="D545" s="172"/>
      <c r="E545" s="173"/>
      <c r="F545" s="173"/>
      <c r="G545" s="117"/>
    </row>
    <row r="546" spans="1:7" ht="12">
      <c r="A546" s="113"/>
      <c r="B546" s="112" t="s">
        <v>276</v>
      </c>
      <c r="C546" s="171">
        <f>(1.29+1.8)*2*0.5</f>
        <v>3.09</v>
      </c>
      <c r="D546" s="172"/>
      <c r="E546" s="173"/>
      <c r="F546" s="173"/>
      <c r="G546" s="117"/>
    </row>
    <row r="547" spans="1:7" ht="12">
      <c r="A547" s="113"/>
      <c r="B547" s="112" t="s">
        <v>277</v>
      </c>
      <c r="C547" s="171">
        <f>(1.75+2.555)*2*2.6</f>
        <v>22.386</v>
      </c>
      <c r="D547" s="172"/>
      <c r="E547" s="173"/>
      <c r="F547" s="173"/>
      <c r="G547" s="117"/>
    </row>
    <row r="548" spans="1:7" ht="12">
      <c r="A548" s="113"/>
      <c r="B548" s="112" t="s">
        <v>225</v>
      </c>
      <c r="C548" s="171">
        <f>(2.2+1.85)*2*0.5</f>
        <v>4.050000000000001</v>
      </c>
      <c r="D548" s="172"/>
      <c r="E548" s="173"/>
      <c r="F548" s="173"/>
      <c r="G548" s="117"/>
    </row>
    <row r="549" spans="1:9" s="170" customFormat="1" ht="12">
      <c r="A549" s="113"/>
      <c r="B549" s="112" t="s">
        <v>278</v>
      </c>
      <c r="C549" s="171">
        <f>(3.305+3.3)*2*1.04</f>
        <v>13.738400000000002</v>
      </c>
      <c r="D549" s="172"/>
      <c r="E549" s="173"/>
      <c r="F549" s="173"/>
      <c r="G549" s="117"/>
      <c r="H549" s="169"/>
      <c r="I549" s="169"/>
    </row>
    <row r="550" spans="1:7" ht="12">
      <c r="A550" s="165"/>
      <c r="B550" s="153" t="s">
        <v>226</v>
      </c>
      <c r="C550" s="154">
        <f>(1.4+0.9)*2*0.5</f>
        <v>2.3</v>
      </c>
      <c r="D550" s="166"/>
      <c r="E550" s="167"/>
      <c r="F550" s="167"/>
      <c r="G550" s="168"/>
    </row>
    <row r="551" spans="1:7" ht="12">
      <c r="A551" s="113"/>
      <c r="B551" s="112" t="s">
        <v>227</v>
      </c>
      <c r="C551" s="171">
        <f>(1.4+0.9)*2*0.5</f>
        <v>2.3</v>
      </c>
      <c r="D551" s="172"/>
      <c r="E551" s="173"/>
      <c r="F551" s="173"/>
      <c r="G551" s="117"/>
    </row>
    <row r="552" spans="1:7" ht="12">
      <c r="A552" s="113"/>
      <c r="B552" s="112" t="s">
        <v>279</v>
      </c>
      <c r="C552" s="171">
        <f>(2.47+2.245)*2*2.71</f>
        <v>25.5553</v>
      </c>
      <c r="D552" s="172"/>
      <c r="E552" s="173"/>
      <c r="F552" s="173"/>
      <c r="G552" s="117"/>
    </row>
    <row r="553" spans="1:7" ht="12">
      <c r="A553" s="113"/>
      <c r="B553" s="112" t="s">
        <v>280</v>
      </c>
      <c r="C553" s="171">
        <f>(0.905+0.75)*2*2.6</f>
        <v>8.606</v>
      </c>
      <c r="D553" s="172"/>
      <c r="E553" s="173"/>
      <c r="F553" s="173"/>
      <c r="G553" s="117"/>
    </row>
    <row r="554" spans="1:7" ht="12">
      <c r="A554" s="113"/>
      <c r="B554" s="112"/>
      <c r="C554" s="171">
        <f>SUM(C471:C553)</f>
        <v>3190.760340000001</v>
      </c>
      <c r="D554" s="172"/>
      <c r="E554" s="173"/>
      <c r="F554" s="173"/>
      <c r="G554" s="117"/>
    </row>
    <row r="555" spans="1:9" s="159" customFormat="1" ht="12">
      <c r="A555" s="152" t="s">
        <v>416</v>
      </c>
      <c r="B555" s="152" t="s">
        <v>417</v>
      </c>
      <c r="C555" s="237" t="s">
        <v>418</v>
      </c>
      <c r="D555" s="202" t="s">
        <v>93</v>
      </c>
      <c r="E555" s="203">
        <v>122.6</v>
      </c>
      <c r="F555" s="204">
        <v>0</v>
      </c>
      <c r="G555" s="203">
        <f>E555*F555</f>
        <v>0</v>
      </c>
      <c r="H555" s="158"/>
      <c r="I555" s="158"/>
    </row>
    <row r="556" spans="1:9" s="108" customFormat="1" ht="12">
      <c r="A556" s="101"/>
      <c r="B556" s="109"/>
      <c r="C556" s="148">
        <f>(8.21+3.2)*2*5.3-30.34</f>
        <v>90.606</v>
      </c>
      <c r="D556" s="148"/>
      <c r="E556" s="149"/>
      <c r="F556" s="149"/>
      <c r="G556" s="111"/>
      <c r="H556" s="107"/>
      <c r="I556" s="107"/>
    </row>
    <row r="557" spans="1:9" s="108" customFormat="1" ht="12">
      <c r="A557" s="101"/>
      <c r="B557" s="109"/>
      <c r="C557" s="148">
        <f>(1.3*5)*4+(5*0.3*4)</f>
        <v>32</v>
      </c>
      <c r="D557" s="148"/>
      <c r="E557" s="149"/>
      <c r="F557" s="149"/>
      <c r="G557" s="111"/>
      <c r="H557" s="107"/>
      <c r="I557" s="107"/>
    </row>
    <row r="558" spans="1:9" s="108" customFormat="1" ht="12">
      <c r="A558" s="101"/>
      <c r="B558" s="205"/>
      <c r="C558" s="148">
        <f>SUM(C556:C557)</f>
        <v>122.606</v>
      </c>
      <c r="D558" s="148"/>
      <c r="E558" s="149"/>
      <c r="F558" s="149"/>
      <c r="G558" s="111"/>
      <c r="H558" s="107"/>
      <c r="I558" s="107"/>
    </row>
    <row r="559" spans="1:9" s="108" customFormat="1" ht="12">
      <c r="A559" s="101" t="s">
        <v>419</v>
      </c>
      <c r="B559" s="232" t="s">
        <v>420</v>
      </c>
      <c r="C559" s="143" t="s">
        <v>421</v>
      </c>
      <c r="D559" s="233" t="s">
        <v>93</v>
      </c>
      <c r="E559" s="234">
        <v>127.88</v>
      </c>
      <c r="F559" s="235">
        <v>0</v>
      </c>
      <c r="G559" s="234">
        <f>E559*F559</f>
        <v>0</v>
      </c>
      <c r="H559" s="107"/>
      <c r="I559" s="107"/>
    </row>
    <row r="560" spans="1:9" s="108" customFormat="1" ht="12">
      <c r="A560" s="101"/>
      <c r="B560" s="236" t="s">
        <v>158</v>
      </c>
      <c r="C560" s="143">
        <f>(2.75*2.91)+(0.9*2.1)+(1.2*2.91)+(4.3+1.6+2.1+1.4+1.4)*2.91-0.8*1.97*2-0.7*1.97*2</f>
        <v>38.9025</v>
      </c>
      <c r="D560" s="233"/>
      <c r="E560" s="234"/>
      <c r="F560" s="235"/>
      <c r="G560" s="234"/>
      <c r="H560" s="107"/>
      <c r="I560" s="107"/>
    </row>
    <row r="561" spans="1:9" s="108" customFormat="1" ht="12">
      <c r="A561" s="101"/>
      <c r="B561" s="236" t="s">
        <v>117</v>
      </c>
      <c r="C561" s="143">
        <f>(3.6*2.91)</f>
        <v>10.476</v>
      </c>
      <c r="D561" s="233"/>
      <c r="E561" s="234"/>
      <c r="F561" s="235"/>
      <c r="G561" s="234"/>
      <c r="H561" s="107"/>
      <c r="I561" s="107"/>
    </row>
    <row r="562" spans="1:9" s="108" customFormat="1" ht="12">
      <c r="A562" s="101"/>
      <c r="B562" s="236" t="s">
        <v>197</v>
      </c>
      <c r="C562" s="143">
        <f>(1.3*3.6)+(1.7+1.1)*3.6</f>
        <v>14.760000000000002</v>
      </c>
      <c r="D562" s="233"/>
      <c r="E562" s="234"/>
      <c r="F562" s="235"/>
      <c r="G562" s="234"/>
      <c r="H562" s="107"/>
      <c r="I562" s="107"/>
    </row>
    <row r="563" spans="1:9" s="108" customFormat="1" ht="12">
      <c r="A563" s="101"/>
      <c r="B563" s="236" t="s">
        <v>119</v>
      </c>
      <c r="C563" s="143">
        <f>(1*2.1)</f>
        <v>2.1</v>
      </c>
      <c r="D563" s="233"/>
      <c r="E563" s="234"/>
      <c r="F563" s="235"/>
      <c r="G563" s="234"/>
      <c r="H563" s="107"/>
      <c r="I563" s="107"/>
    </row>
    <row r="564" spans="1:9" s="108" customFormat="1" ht="12">
      <c r="A564" s="101"/>
      <c r="B564" s="236" t="s">
        <v>266</v>
      </c>
      <c r="C564" s="143">
        <f>(1*2.1)</f>
        <v>2.1</v>
      </c>
      <c r="D564" s="233"/>
      <c r="E564" s="234"/>
      <c r="F564" s="235"/>
      <c r="G564" s="234"/>
      <c r="H564" s="107"/>
      <c r="I564" s="107"/>
    </row>
    <row r="565" spans="1:9" s="108" customFormat="1" ht="12">
      <c r="A565" s="101"/>
      <c r="B565" s="236" t="s">
        <v>201</v>
      </c>
      <c r="C565" s="143">
        <f>(5.9*3.65)</f>
        <v>21.535</v>
      </c>
      <c r="D565" s="233"/>
      <c r="E565" s="234"/>
      <c r="F565" s="235"/>
      <c r="G565" s="234"/>
      <c r="H565" s="107"/>
      <c r="I565" s="107"/>
    </row>
    <row r="566" spans="1:9" s="108" customFormat="1" ht="12">
      <c r="A566" s="101"/>
      <c r="B566" s="236" t="s">
        <v>199</v>
      </c>
      <c r="C566" s="143">
        <f>(2.75*3.6)</f>
        <v>9.9</v>
      </c>
      <c r="D566" s="233"/>
      <c r="E566" s="234"/>
      <c r="F566" s="235"/>
      <c r="G566" s="234"/>
      <c r="H566" s="107"/>
      <c r="I566" s="107"/>
    </row>
    <row r="567" spans="1:9" s="108" customFormat="1" ht="12">
      <c r="A567" s="101"/>
      <c r="B567" s="236" t="s">
        <v>121</v>
      </c>
      <c r="C567" s="143">
        <f>(1.2*3.6)</f>
        <v>4.32</v>
      </c>
      <c r="D567" s="233"/>
      <c r="E567" s="234"/>
      <c r="F567" s="235"/>
      <c r="G567" s="234"/>
      <c r="H567" s="107"/>
      <c r="I567" s="107"/>
    </row>
    <row r="568" spans="1:9" s="108" customFormat="1" ht="12">
      <c r="A568" s="101"/>
      <c r="B568" s="236" t="s">
        <v>220</v>
      </c>
      <c r="C568" s="143">
        <f>(1.1+0.15)*3.6</f>
        <v>4.5</v>
      </c>
      <c r="D568" s="233"/>
      <c r="E568" s="234"/>
      <c r="F568" s="235"/>
      <c r="G568" s="234"/>
      <c r="H568" s="107"/>
      <c r="I568" s="107"/>
    </row>
    <row r="569" spans="1:9" s="108" customFormat="1" ht="12">
      <c r="A569" s="101"/>
      <c r="B569" s="236" t="s">
        <v>202</v>
      </c>
      <c r="C569" s="143">
        <f>(3.82*2.6)</f>
        <v>9.932</v>
      </c>
      <c r="D569" s="233"/>
      <c r="E569" s="234"/>
      <c r="F569" s="235"/>
      <c r="G569" s="234"/>
      <c r="H569" s="107"/>
      <c r="I569" s="107"/>
    </row>
    <row r="570" spans="1:9" s="108" customFormat="1" ht="12">
      <c r="A570" s="101"/>
      <c r="B570" s="236" t="s">
        <v>133</v>
      </c>
      <c r="C570" s="143">
        <f>(1.8*2.6)</f>
        <v>4.680000000000001</v>
      </c>
      <c r="D570" s="233"/>
      <c r="E570" s="234"/>
      <c r="F570" s="235"/>
      <c r="G570" s="234"/>
      <c r="H570" s="107"/>
      <c r="I570" s="107"/>
    </row>
    <row r="571" spans="1:9" s="108" customFormat="1" ht="12">
      <c r="A571" s="101"/>
      <c r="B571" s="236" t="s">
        <v>134</v>
      </c>
      <c r="C571" s="143">
        <f>(1.8*2.6)</f>
        <v>4.680000000000001</v>
      </c>
      <c r="D571" s="233"/>
      <c r="E571" s="234"/>
      <c r="F571" s="235"/>
      <c r="G571" s="234"/>
      <c r="H571" s="107"/>
      <c r="I571" s="107"/>
    </row>
    <row r="572" spans="1:9" s="108" customFormat="1" ht="12">
      <c r="A572" s="101"/>
      <c r="B572" s="232"/>
      <c r="C572" s="143">
        <f>SUM(C560:C571)</f>
        <v>127.88550000000002</v>
      </c>
      <c r="D572" s="233"/>
      <c r="E572" s="234"/>
      <c r="F572" s="235"/>
      <c r="G572" s="234"/>
      <c r="H572" s="107"/>
      <c r="I572" s="107"/>
    </row>
    <row r="573" spans="1:9" s="108" customFormat="1" ht="12">
      <c r="A573" s="101" t="s">
        <v>422</v>
      </c>
      <c r="B573" s="232" t="s">
        <v>423</v>
      </c>
      <c r="C573" s="143" t="s">
        <v>424</v>
      </c>
      <c r="D573" s="233" t="s">
        <v>93</v>
      </c>
      <c r="E573" s="234">
        <v>12.6</v>
      </c>
      <c r="F573" s="235">
        <v>0</v>
      </c>
      <c r="G573" s="234">
        <f>E573*F573</f>
        <v>0</v>
      </c>
      <c r="H573" s="107"/>
      <c r="I573" s="107"/>
    </row>
    <row r="574" spans="1:9" s="108" customFormat="1" ht="12">
      <c r="A574" s="101"/>
      <c r="B574" s="232"/>
      <c r="C574" s="143" t="s">
        <v>425</v>
      </c>
      <c r="D574" s="233"/>
      <c r="E574" s="234"/>
      <c r="F574" s="235"/>
      <c r="G574" s="234"/>
      <c r="H574" s="107"/>
      <c r="I574" s="107"/>
    </row>
    <row r="575" spans="1:9" s="108" customFormat="1" ht="12">
      <c r="A575" s="101"/>
      <c r="B575" s="236" t="s">
        <v>158</v>
      </c>
      <c r="C575" s="143">
        <f>(1.5*2.1)</f>
        <v>3.1500000000000004</v>
      </c>
      <c r="D575" s="233"/>
      <c r="E575" s="234"/>
      <c r="F575" s="235"/>
      <c r="G575" s="234"/>
      <c r="H575" s="107"/>
      <c r="I575" s="107"/>
    </row>
    <row r="576" spans="1:9" s="108" customFormat="1" ht="12">
      <c r="A576" s="101"/>
      <c r="B576" s="236" t="s">
        <v>119</v>
      </c>
      <c r="C576" s="143">
        <f>(1.5*2.1)*2</f>
        <v>6.300000000000001</v>
      </c>
      <c r="D576" s="233"/>
      <c r="E576" s="234"/>
      <c r="F576" s="235"/>
      <c r="G576" s="234"/>
      <c r="H576" s="107"/>
      <c r="I576" s="107"/>
    </row>
    <row r="577" spans="1:9" s="108" customFormat="1" ht="12">
      <c r="A577" s="101"/>
      <c r="B577" s="236" t="s">
        <v>121</v>
      </c>
      <c r="C577" s="143">
        <f>(1.5*2.1)</f>
        <v>3.1500000000000004</v>
      </c>
      <c r="D577" s="233"/>
      <c r="E577" s="234"/>
      <c r="F577" s="235"/>
      <c r="G577" s="234"/>
      <c r="H577" s="107"/>
      <c r="I577" s="107"/>
    </row>
    <row r="578" spans="1:9" s="108" customFormat="1" ht="12">
      <c r="A578" s="101"/>
      <c r="B578" s="232"/>
      <c r="C578" s="143">
        <f>SUM(C575:C577)</f>
        <v>12.600000000000001</v>
      </c>
      <c r="D578" s="233"/>
      <c r="E578" s="234"/>
      <c r="F578" s="235"/>
      <c r="G578" s="234"/>
      <c r="H578" s="107"/>
      <c r="I578" s="107"/>
    </row>
    <row r="579" spans="1:9" s="159" customFormat="1" ht="12">
      <c r="A579" s="152" t="s">
        <v>426</v>
      </c>
      <c r="B579" s="201" t="s">
        <v>427</v>
      </c>
      <c r="C579" s="237" t="s">
        <v>428</v>
      </c>
      <c r="D579" s="202" t="s">
        <v>83</v>
      </c>
      <c r="E579" s="203">
        <v>30</v>
      </c>
      <c r="F579" s="204">
        <v>0</v>
      </c>
      <c r="G579" s="203">
        <f>E579*F579</f>
        <v>0</v>
      </c>
      <c r="H579" s="158"/>
      <c r="I579" s="158"/>
    </row>
    <row r="580" spans="1:9" s="159" customFormat="1" ht="12">
      <c r="A580" s="152" t="s">
        <v>429</v>
      </c>
      <c r="B580" s="201" t="s">
        <v>430</v>
      </c>
      <c r="C580" s="237" t="s">
        <v>431</v>
      </c>
      <c r="D580" s="202" t="s">
        <v>83</v>
      </c>
      <c r="E580" s="203">
        <v>24</v>
      </c>
      <c r="F580" s="204">
        <v>0</v>
      </c>
      <c r="G580" s="203">
        <f>E580*F580</f>
        <v>0</v>
      </c>
      <c r="H580" s="158"/>
      <c r="I580" s="158"/>
    </row>
    <row r="581" spans="1:9" s="159" customFormat="1" ht="12">
      <c r="A581" s="152" t="s">
        <v>432</v>
      </c>
      <c r="B581" s="201" t="s">
        <v>433</v>
      </c>
      <c r="C581" s="237" t="s">
        <v>434</v>
      </c>
      <c r="D581" s="202" t="s">
        <v>157</v>
      </c>
      <c r="E581" s="203">
        <v>751</v>
      </c>
      <c r="F581" s="204">
        <v>0</v>
      </c>
      <c r="G581" s="203">
        <f>E581*F581</f>
        <v>0</v>
      </c>
      <c r="H581" s="158"/>
      <c r="I581" s="158"/>
    </row>
    <row r="582" spans="1:9" s="159" customFormat="1" ht="12">
      <c r="A582" s="152"/>
      <c r="B582" s="201"/>
      <c r="C582" s="237" t="s">
        <v>435</v>
      </c>
      <c r="D582" s="202"/>
      <c r="E582" s="203"/>
      <c r="F582" s="204"/>
      <c r="G582" s="203"/>
      <c r="H582" s="158"/>
      <c r="I582" s="158"/>
    </row>
    <row r="583" spans="1:9" s="159" customFormat="1" ht="12">
      <c r="A583" s="152" t="s">
        <v>436</v>
      </c>
      <c r="B583" s="201" t="s">
        <v>437</v>
      </c>
      <c r="C583" s="237" t="s">
        <v>438</v>
      </c>
      <c r="D583" s="202" t="s">
        <v>157</v>
      </c>
      <c r="E583" s="203">
        <v>335</v>
      </c>
      <c r="F583" s="204">
        <v>0</v>
      </c>
      <c r="G583" s="203">
        <f>E583*F583</f>
        <v>0</v>
      </c>
      <c r="H583" s="158"/>
      <c r="I583" s="158"/>
    </row>
    <row r="584" spans="1:9" s="159" customFormat="1" ht="12">
      <c r="A584" s="152"/>
      <c r="B584" s="238"/>
      <c r="C584" s="237" t="s">
        <v>439</v>
      </c>
      <c r="D584" s="202"/>
      <c r="E584" s="203"/>
      <c r="F584" s="204"/>
      <c r="G584" s="203"/>
      <c r="H584" s="158"/>
      <c r="I584" s="158"/>
    </row>
    <row r="585" spans="1:9" s="108" customFormat="1" ht="12">
      <c r="A585" s="101" t="s">
        <v>440</v>
      </c>
      <c r="B585" s="232" t="s">
        <v>441</v>
      </c>
      <c r="C585" s="143" t="s">
        <v>442</v>
      </c>
      <c r="D585" s="233" t="s">
        <v>93</v>
      </c>
      <c r="E585" s="234">
        <v>26.46</v>
      </c>
      <c r="F585" s="235">
        <v>0</v>
      </c>
      <c r="G585" s="234">
        <f>E585*F585</f>
        <v>0</v>
      </c>
      <c r="H585" s="107"/>
      <c r="I585" s="107"/>
    </row>
    <row r="586" spans="1:9" s="159" customFormat="1" ht="12">
      <c r="A586" s="152"/>
      <c r="B586" s="243" t="s">
        <v>191</v>
      </c>
      <c r="C586" s="161" t="s">
        <v>443</v>
      </c>
      <c r="D586" s="195"/>
      <c r="E586" s="163"/>
      <c r="F586" s="144"/>
      <c r="G586" s="164"/>
      <c r="H586" s="158"/>
      <c r="I586" s="107"/>
    </row>
    <row r="587" spans="1:9" s="159" customFormat="1" ht="12">
      <c r="A587" s="152"/>
      <c r="B587" s="243" t="s">
        <v>158</v>
      </c>
      <c r="C587" s="161" t="s">
        <v>444</v>
      </c>
      <c r="D587" s="195"/>
      <c r="E587" s="163"/>
      <c r="F587" s="144"/>
      <c r="G587" s="164"/>
      <c r="H587" s="158"/>
      <c r="I587" s="107"/>
    </row>
    <row r="588" spans="1:9" s="159" customFormat="1" ht="12">
      <c r="A588" s="152"/>
      <c r="B588" s="243" t="s">
        <v>116</v>
      </c>
      <c r="C588" s="161" t="s">
        <v>112</v>
      </c>
      <c r="D588" s="195"/>
      <c r="E588" s="163"/>
      <c r="F588" s="144"/>
      <c r="G588" s="164"/>
      <c r="H588" s="158"/>
      <c r="I588" s="107"/>
    </row>
    <row r="589" spans="1:9" s="159" customFormat="1" ht="12">
      <c r="A589" s="152"/>
      <c r="B589" s="243" t="s">
        <v>117</v>
      </c>
      <c r="C589" s="161" t="s">
        <v>112</v>
      </c>
      <c r="D589" s="195"/>
      <c r="E589" s="163"/>
      <c r="F589" s="144"/>
      <c r="G589" s="164"/>
      <c r="H589" s="158"/>
      <c r="I589" s="107"/>
    </row>
    <row r="590" spans="1:9" s="159" customFormat="1" ht="12">
      <c r="A590" s="152"/>
      <c r="B590" s="243" t="s">
        <v>197</v>
      </c>
      <c r="C590" s="161" t="s">
        <v>445</v>
      </c>
      <c r="D590" s="195"/>
      <c r="E590" s="163"/>
      <c r="F590" s="144"/>
      <c r="G590" s="164"/>
      <c r="H590" s="158"/>
      <c r="I590" s="107"/>
    </row>
    <row r="591" spans="1:9" s="159" customFormat="1" ht="12">
      <c r="A591" s="152"/>
      <c r="B591" s="243" t="s">
        <v>198</v>
      </c>
      <c r="C591" s="161" t="s">
        <v>445</v>
      </c>
      <c r="D591" s="195"/>
      <c r="E591" s="163"/>
      <c r="F591" s="144"/>
      <c r="G591" s="164"/>
      <c r="H591" s="158"/>
      <c r="I591" s="107"/>
    </row>
    <row r="592" spans="1:9" s="159" customFormat="1" ht="12">
      <c r="A592" s="152"/>
      <c r="B592" s="243" t="s">
        <v>119</v>
      </c>
      <c r="C592" s="161" t="s">
        <v>112</v>
      </c>
      <c r="D592" s="195"/>
      <c r="E592" s="163"/>
      <c r="F592" s="144"/>
      <c r="G592" s="164"/>
      <c r="H592" s="158"/>
      <c r="I592" s="107"/>
    </row>
    <row r="593" spans="1:9" s="159" customFormat="1" ht="12">
      <c r="A593" s="152"/>
      <c r="B593" s="243" t="s">
        <v>120</v>
      </c>
      <c r="C593" s="161" t="s">
        <v>112</v>
      </c>
      <c r="D593" s="195"/>
      <c r="E593" s="163"/>
      <c r="F593" s="144"/>
      <c r="G593" s="164"/>
      <c r="H593" s="158"/>
      <c r="I593" s="107"/>
    </row>
    <row r="594" spans="1:9" s="159" customFormat="1" ht="12">
      <c r="A594" s="152"/>
      <c r="B594" s="243" t="s">
        <v>122</v>
      </c>
      <c r="C594" s="161" t="s">
        <v>112</v>
      </c>
      <c r="D594" s="195"/>
      <c r="E594" s="163"/>
      <c r="F594" s="144"/>
      <c r="G594" s="164"/>
      <c r="H594" s="158"/>
      <c r="I594" s="107"/>
    </row>
    <row r="595" spans="1:9" s="159" customFormat="1" ht="12">
      <c r="A595" s="152"/>
      <c r="B595" s="243" t="s">
        <v>274</v>
      </c>
      <c r="C595" s="161" t="s">
        <v>112</v>
      </c>
      <c r="D595" s="195"/>
      <c r="E595" s="163"/>
      <c r="F595" s="144"/>
      <c r="G595" s="164"/>
      <c r="H595" s="158"/>
      <c r="I595" s="107"/>
    </row>
    <row r="596" spans="1:9" s="159" customFormat="1" ht="12">
      <c r="A596" s="152"/>
      <c r="B596" s="243" t="s">
        <v>202</v>
      </c>
      <c r="C596" s="161" t="s">
        <v>446</v>
      </c>
      <c r="D596" s="195"/>
      <c r="E596" s="163"/>
      <c r="F596" s="144"/>
      <c r="G596" s="164"/>
      <c r="H596" s="158"/>
      <c r="I596" s="107"/>
    </row>
    <row r="597" spans="1:9" s="159" customFormat="1" ht="12">
      <c r="A597" s="152"/>
      <c r="B597" s="243" t="s">
        <v>447</v>
      </c>
      <c r="C597" s="161" t="s">
        <v>445</v>
      </c>
      <c r="D597" s="195"/>
      <c r="E597" s="163"/>
      <c r="F597" s="144"/>
      <c r="G597" s="164"/>
      <c r="H597" s="158"/>
      <c r="I597" s="107"/>
    </row>
    <row r="598" spans="1:9" s="159" customFormat="1" ht="12">
      <c r="A598" s="152"/>
      <c r="B598" s="243" t="s">
        <v>448</v>
      </c>
      <c r="C598" s="161" t="s">
        <v>445</v>
      </c>
      <c r="D598" s="195"/>
      <c r="E598" s="163"/>
      <c r="F598" s="144"/>
      <c r="G598" s="164"/>
      <c r="H598" s="158"/>
      <c r="I598" s="107"/>
    </row>
    <row r="599" spans="1:9" ht="12">
      <c r="A599" s="113"/>
      <c r="B599" s="244"/>
      <c r="C599" s="143">
        <f>(0.15*2.1)*42*2</f>
        <v>26.46</v>
      </c>
      <c r="D599" s="245"/>
      <c r="E599" s="246"/>
      <c r="F599" s="247"/>
      <c r="G599" s="246"/>
      <c r="I599" s="107"/>
    </row>
    <row r="600" spans="1:9" s="108" customFormat="1" ht="12">
      <c r="A600" s="101" t="s">
        <v>449</v>
      </c>
      <c r="B600" s="232" t="s">
        <v>450</v>
      </c>
      <c r="C600" s="143" t="s">
        <v>451</v>
      </c>
      <c r="D600" s="233" t="s">
        <v>157</v>
      </c>
      <c r="E600" s="234">
        <v>6.2</v>
      </c>
      <c r="F600" s="235">
        <v>0</v>
      </c>
      <c r="G600" s="234">
        <f>E600*F600</f>
        <v>0</v>
      </c>
      <c r="H600" s="107"/>
      <c r="I600" s="107"/>
    </row>
    <row r="601" spans="1:9" s="108" customFormat="1" ht="12">
      <c r="A601" s="101" t="s">
        <v>452</v>
      </c>
      <c r="B601" s="232" t="s">
        <v>453</v>
      </c>
      <c r="C601" s="143" t="s">
        <v>428</v>
      </c>
      <c r="D601" s="233" t="s">
        <v>83</v>
      </c>
      <c r="E601" s="234">
        <v>2</v>
      </c>
      <c r="F601" s="235">
        <v>0</v>
      </c>
      <c r="G601" s="234">
        <f>E601*F601</f>
        <v>0</v>
      </c>
      <c r="H601" s="107"/>
      <c r="I601" s="107"/>
    </row>
    <row r="602" spans="1:9" s="108" customFormat="1" ht="12">
      <c r="A602" s="101"/>
      <c r="B602" s="236" t="s">
        <v>454</v>
      </c>
      <c r="C602" s="143" t="s">
        <v>455</v>
      </c>
      <c r="D602" s="233"/>
      <c r="E602" s="234"/>
      <c r="F602" s="235"/>
      <c r="G602" s="234"/>
      <c r="H602" s="107"/>
      <c r="I602" s="107"/>
    </row>
    <row r="603" spans="1:9" s="108" customFormat="1" ht="12">
      <c r="A603" s="101"/>
      <c r="B603" s="236"/>
      <c r="C603" s="143"/>
      <c r="D603" s="233"/>
      <c r="E603" s="234"/>
      <c r="F603" s="235"/>
      <c r="G603" s="234"/>
      <c r="H603" s="107"/>
      <c r="I603" s="107"/>
    </row>
    <row r="604" spans="1:9" s="108" customFormat="1" ht="12">
      <c r="A604" s="101"/>
      <c r="B604" s="236" t="s">
        <v>119</v>
      </c>
      <c r="C604" s="143" t="s">
        <v>455</v>
      </c>
      <c r="D604" s="233"/>
      <c r="E604" s="234"/>
      <c r="F604" s="235"/>
      <c r="G604" s="234"/>
      <c r="H604" s="107"/>
      <c r="I604" s="107"/>
    </row>
    <row r="605" spans="1:9" s="108" customFormat="1" ht="12">
      <c r="A605" s="101" t="s">
        <v>456</v>
      </c>
      <c r="B605" s="101" t="s">
        <v>457</v>
      </c>
      <c r="C605" s="105" t="s">
        <v>458</v>
      </c>
      <c r="D605" s="104" t="s">
        <v>104</v>
      </c>
      <c r="E605" s="199">
        <v>88</v>
      </c>
      <c r="F605" s="145">
        <v>0</v>
      </c>
      <c r="G605" s="200">
        <f>E605*F605</f>
        <v>0</v>
      </c>
      <c r="H605" s="107"/>
      <c r="I605" s="107"/>
    </row>
    <row r="606" spans="1:9" s="108" customFormat="1" ht="12">
      <c r="A606" s="101"/>
      <c r="B606" s="106" t="s">
        <v>308</v>
      </c>
      <c r="C606" s="105" t="s">
        <v>459</v>
      </c>
      <c r="D606" s="104"/>
      <c r="E606" s="199"/>
      <c r="F606" s="145"/>
      <c r="G606" s="200"/>
      <c r="H606" s="107"/>
      <c r="I606" s="107"/>
    </row>
    <row r="607" spans="1:9" s="108" customFormat="1" ht="12">
      <c r="A607" s="101"/>
      <c r="B607" s="106" t="s">
        <v>97</v>
      </c>
      <c r="C607" s="105" t="s">
        <v>460</v>
      </c>
      <c r="D607" s="104"/>
      <c r="E607" s="199"/>
      <c r="F607" s="145"/>
      <c r="G607" s="200"/>
      <c r="H607" s="107"/>
      <c r="I607" s="107"/>
    </row>
    <row r="608" spans="1:9" s="108" customFormat="1" ht="12">
      <c r="A608" s="101"/>
      <c r="B608" s="106" t="s">
        <v>99</v>
      </c>
      <c r="C608" s="105" t="s">
        <v>460</v>
      </c>
      <c r="D608" s="104"/>
      <c r="E608" s="199"/>
      <c r="F608" s="145"/>
      <c r="G608" s="200"/>
      <c r="H608" s="107"/>
      <c r="I608" s="107"/>
    </row>
    <row r="609" spans="1:9" s="108" customFormat="1" ht="12">
      <c r="A609" s="101" t="s">
        <v>461</v>
      </c>
      <c r="B609" s="101" t="s">
        <v>462</v>
      </c>
      <c r="C609" s="105" t="s">
        <v>463</v>
      </c>
      <c r="D609" s="104" t="s">
        <v>93</v>
      </c>
      <c r="E609" s="199">
        <v>6.35</v>
      </c>
      <c r="F609" s="145">
        <v>0</v>
      </c>
      <c r="G609" s="200">
        <f>E609*F609</f>
        <v>0</v>
      </c>
      <c r="H609" s="107"/>
      <c r="I609" s="107"/>
    </row>
    <row r="610" spans="1:9" ht="12">
      <c r="A610" s="113"/>
      <c r="B610" s="113"/>
      <c r="C610" s="105">
        <f>(1.5*2.1)+(1.6*2)</f>
        <v>6.3500000000000005</v>
      </c>
      <c r="D610" s="115"/>
      <c r="E610" s="248"/>
      <c r="F610" s="249"/>
      <c r="G610" s="250"/>
      <c r="I610" s="107"/>
    </row>
    <row r="611" spans="1:9" s="108" customFormat="1" ht="12">
      <c r="A611" s="101" t="s">
        <v>464</v>
      </c>
      <c r="B611" s="101" t="s">
        <v>465</v>
      </c>
      <c r="C611" s="105" t="s">
        <v>466</v>
      </c>
      <c r="D611" s="104" t="s">
        <v>93</v>
      </c>
      <c r="E611" s="199">
        <v>53.6</v>
      </c>
      <c r="F611" s="145">
        <v>0</v>
      </c>
      <c r="G611" s="200">
        <f>E611*F611</f>
        <v>0</v>
      </c>
      <c r="H611" s="107"/>
      <c r="I611" s="107"/>
    </row>
    <row r="612" spans="1:9" s="159" customFormat="1" ht="12">
      <c r="A612" s="152"/>
      <c r="B612" s="243" t="s">
        <v>191</v>
      </c>
      <c r="C612" s="161" t="s">
        <v>443</v>
      </c>
      <c r="D612" s="195"/>
      <c r="E612" s="163"/>
      <c r="F612" s="144"/>
      <c r="G612" s="164"/>
      <c r="H612" s="158"/>
      <c r="I612" s="107"/>
    </row>
    <row r="613" spans="1:9" s="159" customFormat="1" ht="12">
      <c r="A613" s="152"/>
      <c r="B613" s="243" t="s">
        <v>158</v>
      </c>
      <c r="C613" s="161" t="s">
        <v>444</v>
      </c>
      <c r="D613" s="195"/>
      <c r="E613" s="163"/>
      <c r="F613" s="144"/>
      <c r="G613" s="164"/>
      <c r="H613" s="158"/>
      <c r="I613" s="107"/>
    </row>
    <row r="614" spans="1:9" s="159" customFormat="1" ht="12">
      <c r="A614" s="152"/>
      <c r="B614" s="243" t="s">
        <v>116</v>
      </c>
      <c r="C614" s="161" t="s">
        <v>443</v>
      </c>
      <c r="D614" s="195"/>
      <c r="E614" s="163"/>
      <c r="F614" s="144"/>
      <c r="G614" s="164"/>
      <c r="H614" s="158"/>
      <c r="I614" s="107"/>
    </row>
    <row r="615" spans="1:9" s="159" customFormat="1" ht="12">
      <c r="A615" s="152"/>
      <c r="B615" s="243" t="s">
        <v>117</v>
      </c>
      <c r="C615" s="161" t="s">
        <v>112</v>
      </c>
      <c r="D615" s="195"/>
      <c r="E615" s="163"/>
      <c r="F615" s="144"/>
      <c r="G615" s="164"/>
      <c r="H615" s="158"/>
      <c r="I615" s="107"/>
    </row>
    <row r="616" spans="1:9" s="159" customFormat="1" ht="12">
      <c r="A616" s="152"/>
      <c r="B616" s="243" t="s">
        <v>197</v>
      </c>
      <c r="C616" s="161" t="s">
        <v>443</v>
      </c>
      <c r="D616" s="195"/>
      <c r="E616" s="163"/>
      <c r="F616" s="144"/>
      <c r="G616" s="164"/>
      <c r="H616" s="158"/>
      <c r="I616" s="107"/>
    </row>
    <row r="617" spans="1:9" s="159" customFormat="1" ht="12">
      <c r="A617" s="152"/>
      <c r="B617" s="243" t="s">
        <v>198</v>
      </c>
      <c r="C617" s="161" t="s">
        <v>445</v>
      </c>
      <c r="D617" s="195"/>
      <c r="E617" s="163"/>
      <c r="F617" s="144"/>
      <c r="G617" s="164"/>
      <c r="H617" s="158"/>
      <c r="I617" s="107"/>
    </row>
    <row r="618" spans="1:9" s="159" customFormat="1" ht="12">
      <c r="A618" s="152"/>
      <c r="B618" s="243" t="s">
        <v>119</v>
      </c>
      <c r="C618" s="161" t="s">
        <v>112</v>
      </c>
      <c r="D618" s="195"/>
      <c r="E618" s="163"/>
      <c r="F618" s="144"/>
      <c r="G618" s="164"/>
      <c r="H618" s="158"/>
      <c r="I618" s="107"/>
    </row>
    <row r="619" spans="1:9" s="159" customFormat="1" ht="12">
      <c r="A619" s="152"/>
      <c r="B619" s="243" t="s">
        <v>120</v>
      </c>
      <c r="C619" s="161" t="s">
        <v>443</v>
      </c>
      <c r="D619" s="195"/>
      <c r="E619" s="163"/>
      <c r="F619" s="144"/>
      <c r="G619" s="164"/>
      <c r="H619" s="158"/>
      <c r="I619" s="107"/>
    </row>
    <row r="620" spans="1:9" s="159" customFormat="1" ht="12">
      <c r="A620" s="152"/>
      <c r="B620" s="243" t="s">
        <v>122</v>
      </c>
      <c r="C620" s="161" t="s">
        <v>443</v>
      </c>
      <c r="D620" s="195"/>
      <c r="E620" s="163"/>
      <c r="F620" s="144"/>
      <c r="G620" s="164"/>
      <c r="H620" s="158"/>
      <c r="I620" s="107"/>
    </row>
    <row r="621" spans="1:9" s="159" customFormat="1" ht="12">
      <c r="A621" s="152"/>
      <c r="B621" s="243" t="s">
        <v>274</v>
      </c>
      <c r="C621" s="161" t="s">
        <v>112</v>
      </c>
      <c r="D621" s="195"/>
      <c r="E621" s="163"/>
      <c r="F621" s="144"/>
      <c r="G621" s="164"/>
      <c r="H621" s="158"/>
      <c r="I621" s="107"/>
    </row>
    <row r="622" spans="1:9" s="159" customFormat="1" ht="12">
      <c r="A622" s="152"/>
      <c r="B622" s="243" t="s">
        <v>202</v>
      </c>
      <c r="C622" s="161" t="s">
        <v>443</v>
      </c>
      <c r="D622" s="195"/>
      <c r="E622" s="163"/>
      <c r="F622" s="144"/>
      <c r="G622" s="164"/>
      <c r="H622" s="158"/>
      <c r="I622" s="107"/>
    </row>
    <row r="623" spans="1:9" s="159" customFormat="1" ht="12">
      <c r="A623" s="152"/>
      <c r="B623" s="243" t="s">
        <v>447</v>
      </c>
      <c r="C623" s="161" t="s">
        <v>112</v>
      </c>
      <c r="D623" s="195"/>
      <c r="E623" s="163"/>
      <c r="F623" s="144"/>
      <c r="G623" s="164"/>
      <c r="H623" s="158"/>
      <c r="I623" s="107"/>
    </row>
    <row r="624" spans="1:9" s="159" customFormat="1" ht="12">
      <c r="A624" s="152"/>
      <c r="B624" s="243" t="s">
        <v>448</v>
      </c>
      <c r="C624" s="161" t="s">
        <v>445</v>
      </c>
      <c r="D624" s="195"/>
      <c r="E624" s="163"/>
      <c r="F624" s="144"/>
      <c r="G624" s="164"/>
      <c r="H624" s="158"/>
      <c r="I624" s="107"/>
    </row>
    <row r="625" spans="1:9" s="159" customFormat="1" ht="12">
      <c r="A625" s="152"/>
      <c r="B625" s="152"/>
      <c r="C625" s="161"/>
      <c r="D625" s="195"/>
      <c r="E625" s="163"/>
      <c r="F625" s="144"/>
      <c r="G625" s="164"/>
      <c r="H625" s="158"/>
      <c r="I625" s="107"/>
    </row>
    <row r="626" spans="1:9" s="108" customFormat="1" ht="12">
      <c r="A626" s="101" t="s">
        <v>467</v>
      </c>
      <c r="B626" s="101" t="s">
        <v>468</v>
      </c>
      <c r="C626" s="105" t="s">
        <v>466</v>
      </c>
      <c r="D626" s="104" t="s">
        <v>93</v>
      </c>
      <c r="E626" s="199">
        <v>18.6</v>
      </c>
      <c r="F626" s="145">
        <v>0</v>
      </c>
      <c r="G626" s="200">
        <f>E626*F626</f>
        <v>0</v>
      </c>
      <c r="H626" s="107"/>
      <c r="I626" s="107"/>
    </row>
    <row r="627" spans="1:9" s="108" customFormat="1" ht="12">
      <c r="A627" s="101"/>
      <c r="B627" s="101"/>
      <c r="C627" s="105">
        <f>(1.5*2.1)+(2.4*3.5)+(1.53*2.5)+(1.6*2)</f>
        <v>18.575</v>
      </c>
      <c r="D627" s="104"/>
      <c r="E627" s="199"/>
      <c r="F627" s="145"/>
      <c r="G627" s="200"/>
      <c r="H627" s="107"/>
      <c r="I627" s="107"/>
    </row>
    <row r="628" spans="1:9" ht="12">
      <c r="A628" s="113"/>
      <c r="B628" s="113"/>
      <c r="C628" s="251"/>
      <c r="D628" s="115"/>
      <c r="E628" s="248"/>
      <c r="F628" s="249"/>
      <c r="G628" s="250"/>
      <c r="I628" s="107"/>
    </row>
    <row r="629" spans="1:9" s="108" customFormat="1" ht="12">
      <c r="A629" s="101" t="s">
        <v>469</v>
      </c>
      <c r="B629" s="101" t="s">
        <v>470</v>
      </c>
      <c r="C629" s="105" t="s">
        <v>471</v>
      </c>
      <c r="D629" s="104" t="s">
        <v>93</v>
      </c>
      <c r="E629" s="199">
        <v>32</v>
      </c>
      <c r="F629" s="145">
        <v>0</v>
      </c>
      <c r="G629" s="200">
        <f>E629*F629</f>
        <v>0</v>
      </c>
      <c r="H629" s="107"/>
      <c r="I629" s="107"/>
    </row>
    <row r="630" spans="1:9" s="108" customFormat="1" ht="12">
      <c r="A630" s="101"/>
      <c r="B630" s="106" t="s">
        <v>118</v>
      </c>
      <c r="C630" s="101">
        <v>32</v>
      </c>
      <c r="D630" s="104"/>
      <c r="E630" s="199"/>
      <c r="F630" s="145"/>
      <c r="G630" s="200"/>
      <c r="H630" s="107"/>
      <c r="I630" s="107"/>
    </row>
    <row r="631" spans="1:9" s="108" customFormat="1" ht="12">
      <c r="A631" s="101"/>
      <c r="B631" s="106"/>
      <c r="C631" s="101"/>
      <c r="D631" s="104"/>
      <c r="E631" s="199"/>
      <c r="F631" s="145"/>
      <c r="G631" s="200"/>
      <c r="H631" s="107"/>
      <c r="I631" s="107"/>
    </row>
    <row r="632" spans="1:9" s="108" customFormat="1" ht="12">
      <c r="A632" s="101"/>
      <c r="B632" s="101"/>
      <c r="C632" s="105"/>
      <c r="D632" s="104"/>
      <c r="E632" s="199"/>
      <c r="F632" s="145"/>
      <c r="G632" s="200"/>
      <c r="H632" s="107"/>
      <c r="I632" s="107"/>
    </row>
    <row r="633" spans="1:15" s="159" customFormat="1" ht="12">
      <c r="A633" s="152" t="s">
        <v>472</v>
      </c>
      <c r="B633" s="152" t="s">
        <v>473</v>
      </c>
      <c r="C633" s="161" t="s">
        <v>474</v>
      </c>
      <c r="D633" s="195" t="s">
        <v>93</v>
      </c>
      <c r="E633" s="163">
        <v>375.65</v>
      </c>
      <c r="F633" s="144">
        <v>0</v>
      </c>
      <c r="G633" s="164">
        <f>E633*F633</f>
        <v>0</v>
      </c>
      <c r="H633" s="196"/>
      <c r="I633" s="158"/>
      <c r="K633" s="170"/>
      <c r="L633" s="170"/>
      <c r="M633" s="170"/>
      <c r="N633" s="170"/>
      <c r="O633" s="170"/>
    </row>
    <row r="634" spans="1:9" s="159" customFormat="1" ht="12">
      <c r="A634" s="152"/>
      <c r="B634" s="160" t="s">
        <v>158</v>
      </c>
      <c r="C634" s="161">
        <f>(2.75+4.8+1.5+2.2+1.2+2.9+2.6+3+1.85+1.6+2.9+0.45+1.3+4.5)*2.1</f>
        <v>70.455</v>
      </c>
      <c r="D634" s="162"/>
      <c r="E634" s="163"/>
      <c r="F634" s="144"/>
      <c r="G634" s="164"/>
      <c r="H634" s="158"/>
      <c r="I634" s="158"/>
    </row>
    <row r="635" spans="1:9" s="159" customFormat="1" ht="12">
      <c r="A635" s="152"/>
      <c r="B635" s="160"/>
      <c r="C635" s="161">
        <f>-(0.9*2.1)*8+(0.35*5.1)*4-(1.6*2)</f>
        <v>-11.18</v>
      </c>
      <c r="D635" s="162"/>
      <c r="E635" s="163"/>
      <c r="F635" s="144"/>
      <c r="G635" s="164"/>
      <c r="H635" s="158"/>
      <c r="I635" s="158"/>
    </row>
    <row r="636" spans="1:9" s="159" customFormat="1" ht="12">
      <c r="A636" s="152"/>
      <c r="B636" s="160" t="s">
        <v>126</v>
      </c>
      <c r="C636" s="161">
        <f>(2.45*2.1)</f>
        <v>5.1450000000000005</v>
      </c>
      <c r="D636" s="162"/>
      <c r="E636" s="163"/>
      <c r="F636" s="144"/>
      <c r="G636" s="164"/>
      <c r="H636" s="158"/>
      <c r="I636" s="158"/>
    </row>
    <row r="637" spans="1:9" s="159" customFormat="1" ht="12">
      <c r="A637" s="152"/>
      <c r="B637" s="160" t="s">
        <v>127</v>
      </c>
      <c r="C637" s="161">
        <f>(2+2.1)*2.1</f>
        <v>8.61</v>
      </c>
      <c r="D637" s="162"/>
      <c r="E637" s="163"/>
      <c r="F637" s="144"/>
      <c r="G637" s="164"/>
      <c r="H637" s="158"/>
      <c r="I637" s="158"/>
    </row>
    <row r="638" spans="1:9" s="159" customFormat="1" ht="12">
      <c r="A638" s="152"/>
      <c r="B638" s="160" t="s">
        <v>215</v>
      </c>
      <c r="C638" s="161">
        <f>(4.32+2.9)*2*2.1-(0.8*1.97)</f>
        <v>28.748000000000005</v>
      </c>
      <c r="D638" s="162"/>
      <c r="E638" s="163"/>
      <c r="F638" s="144"/>
      <c r="G638" s="164"/>
      <c r="H638" s="158"/>
      <c r="I638" s="158"/>
    </row>
    <row r="639" spans="1:9" s="159" customFormat="1" ht="12">
      <c r="A639" s="152"/>
      <c r="B639" s="160" t="s">
        <v>118</v>
      </c>
      <c r="C639" s="161">
        <f>(7.15+5.5)*2*2.1-(0.8*1.6)*2</f>
        <v>50.57</v>
      </c>
      <c r="D639" s="162"/>
      <c r="E639" s="163"/>
      <c r="F639" s="144"/>
      <c r="G639" s="164"/>
      <c r="H639" s="158"/>
      <c r="I639" s="158"/>
    </row>
    <row r="640" spans="1:9" s="159" customFormat="1" ht="12">
      <c r="A640" s="152"/>
      <c r="B640" s="160"/>
      <c r="C640" s="175"/>
      <c r="D640" s="162"/>
      <c r="E640" s="163"/>
      <c r="F640" s="144"/>
      <c r="G640" s="164"/>
      <c r="H640" s="158"/>
      <c r="I640" s="158"/>
    </row>
    <row r="641" spans="1:9" s="159" customFormat="1" ht="12">
      <c r="A641" s="152"/>
      <c r="B641" s="160" t="s">
        <v>196</v>
      </c>
      <c r="C641" s="161">
        <f>(0.815+0.35+0.35)*2.1</f>
        <v>3.1815</v>
      </c>
      <c r="D641" s="162"/>
      <c r="E641" s="163"/>
      <c r="F641" s="144"/>
      <c r="G641" s="164"/>
      <c r="H641" s="158"/>
      <c r="I641" s="158"/>
    </row>
    <row r="642" spans="1:9" s="159" customFormat="1" ht="12">
      <c r="A642" s="152"/>
      <c r="B642" s="160" t="s">
        <v>197</v>
      </c>
      <c r="C642" s="161">
        <f>(1.6+1)*2*2.1-1.2</f>
        <v>9.720000000000002</v>
      </c>
      <c r="D642" s="162"/>
      <c r="E642" s="163"/>
      <c r="F642" s="144"/>
      <c r="G642" s="164"/>
      <c r="H642" s="158"/>
      <c r="I642" s="158"/>
    </row>
    <row r="643" spans="1:9" s="159" customFormat="1" ht="12">
      <c r="A643" s="152"/>
      <c r="B643" s="176" t="s">
        <v>198</v>
      </c>
      <c r="C643" s="154">
        <f>(1.89+1.3)*2*2.1-(0.8*1.97*3)</f>
        <v>8.670000000000002</v>
      </c>
      <c r="D643" s="162"/>
      <c r="E643" s="163"/>
      <c r="F643" s="144"/>
      <c r="G643" s="164"/>
      <c r="H643" s="158"/>
      <c r="I643" s="158"/>
    </row>
    <row r="644" spans="1:9" s="170" customFormat="1" ht="12">
      <c r="A644" s="165"/>
      <c r="B644" s="153" t="s">
        <v>119</v>
      </c>
      <c r="C644" s="154">
        <f>(1.9+1.83)*2*2.1-(0.7*1.97)</f>
        <v>14.287</v>
      </c>
      <c r="D644" s="166"/>
      <c r="E644" s="167"/>
      <c r="F644" s="167"/>
      <c r="G644" s="168"/>
      <c r="H644" s="169"/>
      <c r="I644" s="158"/>
    </row>
    <row r="645" spans="1:9" s="170" customFormat="1" ht="12">
      <c r="A645" s="165"/>
      <c r="B645" s="153"/>
      <c r="C645" s="154">
        <f>(1.71+1.27)*2*2.1-(0.7*1.97)*2</f>
        <v>9.758</v>
      </c>
      <c r="D645" s="166"/>
      <c r="E645" s="167"/>
      <c r="F645" s="167"/>
      <c r="G645" s="168"/>
      <c r="H645" s="169"/>
      <c r="I645" s="158"/>
    </row>
    <row r="646" spans="1:9" s="170" customFormat="1" ht="12">
      <c r="A646" s="165"/>
      <c r="B646" s="153" t="s">
        <v>120</v>
      </c>
      <c r="C646" s="154">
        <f>(2.97+1.95)*2*2.1-(0.8*1.97)</f>
        <v>19.088</v>
      </c>
      <c r="D646" s="166"/>
      <c r="E646" s="167"/>
      <c r="F646" s="167"/>
      <c r="G646" s="168"/>
      <c r="H646" s="169"/>
      <c r="I646" s="158"/>
    </row>
    <row r="647" spans="1:9" s="170" customFormat="1" ht="12">
      <c r="A647" s="165"/>
      <c r="B647" s="153" t="s">
        <v>218</v>
      </c>
      <c r="C647" s="154">
        <f>(3.6+1.8)*1.5</f>
        <v>8.100000000000001</v>
      </c>
      <c r="D647" s="166"/>
      <c r="E647" s="167"/>
      <c r="F647" s="167"/>
      <c r="G647" s="168"/>
      <c r="H647" s="169"/>
      <c r="I647" s="158"/>
    </row>
    <row r="648" spans="1:9" s="170" customFormat="1" ht="12">
      <c r="A648" s="165"/>
      <c r="B648" s="153" t="s">
        <v>121</v>
      </c>
      <c r="C648" s="154">
        <f>(2+1.2)*2*2.1+(1.5+1.2)*2*2.1-(0.7*1.97)*2</f>
        <v>22.022000000000002</v>
      </c>
      <c r="D648" s="166"/>
      <c r="E648" s="167"/>
      <c r="F648" s="167"/>
      <c r="G648" s="168"/>
      <c r="H648" s="169"/>
      <c r="I648" s="158"/>
    </row>
    <row r="649" spans="1:9" s="170" customFormat="1" ht="12">
      <c r="A649" s="165"/>
      <c r="B649" s="153" t="s">
        <v>219</v>
      </c>
      <c r="C649" s="154">
        <f>(1.89+1.2)*2*2.1</f>
        <v>12.978</v>
      </c>
      <c r="D649" s="166"/>
      <c r="E649" s="167"/>
      <c r="F649" s="167"/>
      <c r="G649" s="168"/>
      <c r="H649" s="169"/>
      <c r="I649" s="158"/>
    </row>
    <row r="650" spans="1:9" s="170" customFormat="1" ht="12">
      <c r="A650" s="165"/>
      <c r="B650" s="153" t="s">
        <v>220</v>
      </c>
      <c r="C650" s="154">
        <f>(1.86+2.4)*2*2.1</f>
        <v>17.892</v>
      </c>
      <c r="D650" s="166"/>
      <c r="E650" s="167"/>
      <c r="F650" s="167"/>
      <c r="G650" s="168"/>
      <c r="H650" s="169"/>
      <c r="I650" s="158"/>
    </row>
    <row r="651" spans="1:9" s="170" customFormat="1" ht="12">
      <c r="A651" s="165"/>
      <c r="B651" s="153" t="s">
        <v>201</v>
      </c>
      <c r="C651" s="154">
        <f>(1.1+0.15+0.15)*2.1</f>
        <v>2.94</v>
      </c>
      <c r="D651" s="166"/>
      <c r="E651" s="167"/>
      <c r="F651" s="167"/>
      <c r="G651" s="168"/>
      <c r="H651" s="169"/>
      <c r="I651" s="158"/>
    </row>
    <row r="652" spans="1:9" s="170" customFormat="1" ht="12">
      <c r="A652" s="165"/>
      <c r="B652" s="153"/>
      <c r="C652" s="177"/>
      <c r="D652" s="166"/>
      <c r="E652" s="167"/>
      <c r="F652" s="167"/>
      <c r="G652" s="168"/>
      <c r="H652" s="169"/>
      <c r="I652" s="158"/>
    </row>
    <row r="653" spans="1:9" s="183" customFormat="1" ht="12">
      <c r="A653" s="165"/>
      <c r="B653" s="153" t="s">
        <v>146</v>
      </c>
      <c r="C653" s="178">
        <f>(1.6+1.7)*2*2.1-(0.6*1.97)+(1.6+1.3)*2*2.1-(0.6*1.97)+(1.6+0.9)*2*2.1</f>
        <v>34.176</v>
      </c>
      <c r="D653" s="179"/>
      <c r="E653" s="180"/>
      <c r="F653" s="180"/>
      <c r="G653" s="180"/>
      <c r="H653" s="181"/>
      <c r="I653" s="182"/>
    </row>
    <row r="654" spans="1:9" s="183" customFormat="1" ht="12">
      <c r="A654" s="165"/>
      <c r="B654" s="153" t="s">
        <v>135</v>
      </c>
      <c r="C654" s="178">
        <f>(1.9+1.6)*2*2.1-(0.8*1.97)</f>
        <v>13.124</v>
      </c>
      <c r="D654" s="179"/>
      <c r="E654" s="180"/>
      <c r="F654" s="180"/>
      <c r="G654" s="180"/>
      <c r="H654" s="181"/>
      <c r="I654" s="182"/>
    </row>
    <row r="655" spans="1:9" s="183" customFormat="1" ht="12">
      <c r="A655" s="165"/>
      <c r="B655" s="153" t="s">
        <v>232</v>
      </c>
      <c r="C655" s="178">
        <f>(2.05+2.05)*2*2.1-(0.9*1.97)</f>
        <v>15.447</v>
      </c>
      <c r="D655" s="179"/>
      <c r="E655" s="180"/>
      <c r="F655" s="180"/>
      <c r="G655" s="180"/>
      <c r="H655" s="181"/>
      <c r="I655" s="182"/>
    </row>
    <row r="656" spans="1:9" s="183" customFormat="1" ht="12">
      <c r="A656" s="165"/>
      <c r="B656" s="153" t="s">
        <v>225</v>
      </c>
      <c r="C656" s="178">
        <f>(1.85+2.2)*2*2.1-(0.7*1.97)*2-(0.8*1.97)*2</f>
        <v>11.100000000000005</v>
      </c>
      <c r="D656" s="179"/>
      <c r="E656" s="180"/>
      <c r="F656" s="180"/>
      <c r="G656" s="180"/>
      <c r="H656" s="181"/>
      <c r="I656" s="182"/>
    </row>
    <row r="657" spans="1:9" s="183" customFormat="1" ht="12">
      <c r="A657" s="165"/>
      <c r="B657" s="153" t="s">
        <v>226</v>
      </c>
      <c r="C657" s="178">
        <f>(1.4+0.9)*2*2.1-(0.7*1.97)</f>
        <v>8.281</v>
      </c>
      <c r="D657" s="179"/>
      <c r="E657" s="180"/>
      <c r="F657" s="180"/>
      <c r="G657" s="180"/>
      <c r="H657" s="181"/>
      <c r="I657" s="182"/>
    </row>
    <row r="658" spans="1:9" s="183" customFormat="1" ht="12">
      <c r="A658" s="165"/>
      <c r="B658" s="153" t="s">
        <v>227</v>
      </c>
      <c r="C658" s="178">
        <f>(1.4+0.9)*2*2.1-(0.7*1.97)</f>
        <v>8.281</v>
      </c>
      <c r="D658" s="179"/>
      <c r="E658" s="180"/>
      <c r="F658" s="180"/>
      <c r="G658" s="180"/>
      <c r="H658" s="181"/>
      <c r="I658" s="182"/>
    </row>
    <row r="659" spans="1:9" s="183" customFormat="1" ht="12">
      <c r="A659" s="165"/>
      <c r="B659" s="153" t="s">
        <v>233</v>
      </c>
      <c r="C659" s="178">
        <f>(1.5+2.3+2.7+0.6)*0.6</f>
        <v>4.260000000000001</v>
      </c>
      <c r="D659" s="179"/>
      <c r="E659" s="180"/>
      <c r="F659" s="180"/>
      <c r="G659" s="180"/>
      <c r="H659" s="181"/>
      <c r="I659" s="182"/>
    </row>
    <row r="660" spans="1:9" s="170" customFormat="1" ht="12">
      <c r="A660" s="165"/>
      <c r="B660" s="153"/>
      <c r="C660" s="154">
        <f>SUM(C634:C659)</f>
        <v>375.65350000000007</v>
      </c>
      <c r="D660" s="166"/>
      <c r="E660" s="167"/>
      <c r="F660" s="167"/>
      <c r="G660" s="168"/>
      <c r="H660" s="169"/>
      <c r="I660" s="158"/>
    </row>
    <row r="661" spans="1:9" s="159" customFormat="1" ht="12">
      <c r="A661" s="152" t="s">
        <v>475</v>
      </c>
      <c r="B661" s="152" t="s">
        <v>476</v>
      </c>
      <c r="C661" s="161" t="s">
        <v>477</v>
      </c>
      <c r="D661" s="195" t="s">
        <v>93</v>
      </c>
      <c r="E661" s="163">
        <v>408.01</v>
      </c>
      <c r="F661" s="144">
        <v>0</v>
      </c>
      <c r="G661" s="164">
        <f>E661*F661</f>
        <v>0</v>
      </c>
      <c r="H661" s="158"/>
      <c r="I661" s="158"/>
    </row>
    <row r="662" spans="1:9" s="159" customFormat="1" ht="12">
      <c r="A662" s="152"/>
      <c r="B662" s="152"/>
      <c r="C662" s="161">
        <v>375.65</v>
      </c>
      <c r="D662" s="195"/>
      <c r="E662" s="163"/>
      <c r="F662" s="144"/>
      <c r="G662" s="164"/>
      <c r="H662" s="158"/>
      <c r="I662" s="158"/>
    </row>
    <row r="663" spans="1:9" s="108" customFormat="1" ht="12">
      <c r="A663" s="101"/>
      <c r="B663" s="197" t="s">
        <v>191</v>
      </c>
      <c r="C663" s="105">
        <f>(1.5+2.16+1+0.45+0.1+0.1+0.7+0.8+0.9+0.7+5.8+0.1+0.1+1)*2.1</f>
        <v>32.361000000000004</v>
      </c>
      <c r="D663" s="198"/>
      <c r="E663" s="199"/>
      <c r="F663" s="145"/>
      <c r="G663" s="200"/>
      <c r="H663" s="107"/>
      <c r="I663" s="107"/>
    </row>
    <row r="664" spans="1:9" s="108" customFormat="1" ht="12">
      <c r="A664" s="101" t="s">
        <v>478</v>
      </c>
      <c r="B664" s="101" t="s">
        <v>479</v>
      </c>
      <c r="C664" s="105" t="s">
        <v>480</v>
      </c>
      <c r="D664" s="104" t="s">
        <v>93</v>
      </c>
      <c r="E664" s="199">
        <v>57.78</v>
      </c>
      <c r="F664" s="145">
        <v>0</v>
      </c>
      <c r="G664" s="200">
        <f>E664*F664</f>
        <v>0</v>
      </c>
      <c r="H664" s="151"/>
      <c r="I664" s="107"/>
    </row>
    <row r="665" spans="1:9" s="108" customFormat="1" ht="12">
      <c r="A665" s="101"/>
      <c r="B665" s="197" t="s">
        <v>191</v>
      </c>
      <c r="C665" s="105">
        <f>(1.5+2.16+1+0.45+0.1+0.1+0.7+8+0.9+0.7+5.8+0.1+5+1)*2.1</f>
        <v>57.77100000000001</v>
      </c>
      <c r="D665" s="198"/>
      <c r="E665" s="199"/>
      <c r="F665" s="145"/>
      <c r="G665" s="200"/>
      <c r="H665" s="107"/>
      <c r="I665" s="107"/>
    </row>
    <row r="666" spans="1:9" s="108" customFormat="1" ht="12">
      <c r="A666" s="101"/>
      <c r="B666" s="197"/>
      <c r="C666" s="105"/>
      <c r="D666" s="198"/>
      <c r="E666" s="199"/>
      <c r="F666" s="145"/>
      <c r="G666" s="200"/>
      <c r="H666" s="107"/>
      <c r="I666" s="107"/>
    </row>
    <row r="667" spans="1:9" s="108" customFormat="1" ht="12">
      <c r="A667" s="101" t="s">
        <v>481</v>
      </c>
      <c r="B667" s="101" t="s">
        <v>482</v>
      </c>
      <c r="C667" s="105" t="s">
        <v>483</v>
      </c>
      <c r="D667" s="104" t="s">
        <v>93</v>
      </c>
      <c r="E667" s="199">
        <v>46.56</v>
      </c>
      <c r="F667" s="145">
        <v>0</v>
      </c>
      <c r="G667" s="200">
        <f>E667*F667</f>
        <v>0</v>
      </c>
      <c r="H667" s="151"/>
      <c r="I667" s="107"/>
    </row>
    <row r="668" spans="1:9" s="108" customFormat="1" ht="12">
      <c r="A668" s="101"/>
      <c r="B668" s="197" t="s">
        <v>191</v>
      </c>
      <c r="C668" s="105">
        <f>(1.5+2.16+1+0.45+0.1+0.1+0.7+0.8+0.9+0.7+5.8+0.1+0.1+1)*2.1</f>
        <v>32.361000000000004</v>
      </c>
      <c r="D668" s="198"/>
      <c r="E668" s="199"/>
      <c r="F668" s="145"/>
      <c r="G668" s="200"/>
      <c r="H668" s="107"/>
      <c r="I668" s="107"/>
    </row>
    <row r="669" spans="1:9" s="108" customFormat="1" ht="12">
      <c r="A669" s="101"/>
      <c r="B669" s="197" t="s">
        <v>212</v>
      </c>
      <c r="C669" s="105">
        <v>14.2</v>
      </c>
      <c r="D669" s="198"/>
      <c r="E669" s="199"/>
      <c r="F669" s="145"/>
      <c r="G669" s="200"/>
      <c r="H669" s="107"/>
      <c r="I669" s="107"/>
    </row>
    <row r="670" spans="1:9" s="108" customFormat="1" ht="12">
      <c r="A670" s="101" t="s">
        <v>484</v>
      </c>
      <c r="B670" s="101" t="s">
        <v>485</v>
      </c>
      <c r="C670" s="105" t="s">
        <v>486</v>
      </c>
      <c r="D670" s="104" t="s">
        <v>93</v>
      </c>
      <c r="E670" s="199">
        <v>14.2</v>
      </c>
      <c r="F670" s="145">
        <v>0</v>
      </c>
      <c r="G670" s="200">
        <f>E670*F670</f>
        <v>0</v>
      </c>
      <c r="H670" s="151"/>
      <c r="I670" s="107"/>
    </row>
    <row r="671" spans="1:9" s="108" customFormat="1" ht="12">
      <c r="A671" s="101"/>
      <c r="B671" s="197" t="s">
        <v>212</v>
      </c>
      <c r="C671" s="105">
        <v>13</v>
      </c>
      <c r="D671" s="198"/>
      <c r="E671" s="199"/>
      <c r="F671" s="145"/>
      <c r="G671" s="200"/>
      <c r="H671" s="107"/>
      <c r="I671" s="107"/>
    </row>
    <row r="672" spans="1:9" s="108" customFormat="1" ht="12">
      <c r="A672" s="101"/>
      <c r="B672" s="197"/>
      <c r="C672" s="105"/>
      <c r="D672" s="198"/>
      <c r="E672" s="199"/>
      <c r="F672" s="145"/>
      <c r="G672" s="200"/>
      <c r="H672" s="107"/>
      <c r="I672" s="107"/>
    </row>
    <row r="673" spans="1:9" s="108" customFormat="1" ht="12">
      <c r="A673" s="101" t="s">
        <v>487</v>
      </c>
      <c r="B673" s="225" t="s">
        <v>488</v>
      </c>
      <c r="C673" s="105" t="s">
        <v>489</v>
      </c>
      <c r="D673" s="198" t="s">
        <v>83</v>
      </c>
      <c r="E673" s="199">
        <v>1</v>
      </c>
      <c r="F673" s="145">
        <v>0</v>
      </c>
      <c r="G673" s="200">
        <f aca="true" t="shared" si="0" ref="G673:G678">E673*F673</f>
        <v>0</v>
      </c>
      <c r="H673" s="107"/>
      <c r="I673" s="107"/>
    </row>
    <row r="674" spans="1:9" s="108" customFormat="1" ht="12">
      <c r="A674" s="101" t="s">
        <v>490</v>
      </c>
      <c r="B674" s="225" t="s">
        <v>491</v>
      </c>
      <c r="C674" s="105" t="s">
        <v>492</v>
      </c>
      <c r="D674" s="198" t="s">
        <v>83</v>
      </c>
      <c r="E674" s="199">
        <v>5</v>
      </c>
      <c r="F674" s="145">
        <v>0</v>
      </c>
      <c r="G674" s="200">
        <f t="shared" si="0"/>
        <v>0</v>
      </c>
      <c r="H674" s="107"/>
      <c r="I674" s="107"/>
    </row>
    <row r="675" spans="1:9" s="108" customFormat="1" ht="12">
      <c r="A675" s="101" t="s">
        <v>493</v>
      </c>
      <c r="B675" s="225" t="s">
        <v>350</v>
      </c>
      <c r="C675" s="105" t="s">
        <v>494</v>
      </c>
      <c r="D675" s="198" t="s">
        <v>83</v>
      </c>
      <c r="E675" s="199">
        <v>1</v>
      </c>
      <c r="F675" s="145">
        <v>0</v>
      </c>
      <c r="G675" s="200">
        <f t="shared" si="0"/>
        <v>0</v>
      </c>
      <c r="H675" s="107"/>
      <c r="I675" s="107"/>
    </row>
    <row r="676" spans="1:9" s="108" customFormat="1" ht="12">
      <c r="A676" s="101" t="s">
        <v>495</v>
      </c>
      <c r="B676" s="225" t="s">
        <v>496</v>
      </c>
      <c r="C676" s="105" t="s">
        <v>497</v>
      </c>
      <c r="D676" s="198" t="s">
        <v>83</v>
      </c>
      <c r="E676" s="199">
        <v>2</v>
      </c>
      <c r="F676" s="145">
        <v>0</v>
      </c>
      <c r="G676" s="200">
        <f t="shared" si="0"/>
        <v>0</v>
      </c>
      <c r="H676" s="107"/>
      <c r="I676" s="107"/>
    </row>
    <row r="677" spans="1:9" s="108" customFormat="1" ht="12">
      <c r="A677" s="101" t="s">
        <v>498</v>
      </c>
      <c r="B677" s="101" t="s">
        <v>499</v>
      </c>
      <c r="C677" s="105" t="s">
        <v>500</v>
      </c>
      <c r="D677" s="104" t="s">
        <v>83</v>
      </c>
      <c r="E677" s="199">
        <v>9</v>
      </c>
      <c r="F677" s="145">
        <v>0</v>
      </c>
      <c r="G677" s="200">
        <f t="shared" si="0"/>
        <v>0</v>
      </c>
      <c r="H677" s="107"/>
      <c r="I677" s="107"/>
    </row>
    <row r="678" spans="1:9" s="108" customFormat="1" ht="12">
      <c r="A678" s="101" t="s">
        <v>501</v>
      </c>
      <c r="B678" s="101" t="s">
        <v>502</v>
      </c>
      <c r="C678" s="105" t="s">
        <v>503</v>
      </c>
      <c r="D678" s="104" t="s">
        <v>93</v>
      </c>
      <c r="E678" s="199">
        <v>419.46</v>
      </c>
      <c r="F678" s="145">
        <v>0</v>
      </c>
      <c r="G678" s="200">
        <f t="shared" si="0"/>
        <v>0</v>
      </c>
      <c r="H678" s="151"/>
      <c r="I678" s="107"/>
    </row>
    <row r="679" spans="1:9" s="108" customFormat="1" ht="12">
      <c r="A679" s="101"/>
      <c r="B679" s="101" t="s">
        <v>504</v>
      </c>
      <c r="C679" s="105">
        <f>(1.7+5+5+1.5+3.4+1.5+5+5+1.5+3.4+1.5)*1.5</f>
        <v>51.75</v>
      </c>
      <c r="D679" s="104"/>
      <c r="E679" s="199"/>
      <c r="F679" s="145"/>
      <c r="G679" s="200"/>
      <c r="H679" s="151"/>
      <c r="I679" s="107"/>
    </row>
    <row r="680" spans="1:9" ht="12">
      <c r="A680" s="113"/>
      <c r="B680" s="112" t="s">
        <v>196</v>
      </c>
      <c r="C680" s="154">
        <f>(9.37+4.5)*2*1.6</f>
        <v>44.384</v>
      </c>
      <c r="D680" s="172"/>
      <c r="E680" s="173"/>
      <c r="F680" s="173"/>
      <c r="G680" s="117"/>
      <c r="I680" s="107"/>
    </row>
    <row r="681" spans="1:9" ht="12">
      <c r="A681" s="113"/>
      <c r="B681" s="112"/>
      <c r="C681" s="171">
        <f>(1.35+0.645+0.9+1.205+2.3)*1.6</f>
        <v>10.24</v>
      </c>
      <c r="D681" s="172"/>
      <c r="E681" s="173"/>
      <c r="F681" s="173"/>
      <c r="G681" s="117"/>
      <c r="I681" s="107"/>
    </row>
    <row r="682" spans="1:9" ht="12">
      <c r="A682" s="113"/>
      <c r="B682" s="112"/>
      <c r="C682" s="171">
        <f>(3.5+1.81)*2*1.6</f>
        <v>16.992</v>
      </c>
      <c r="D682" s="172"/>
      <c r="E682" s="173"/>
      <c r="F682" s="173"/>
      <c r="G682" s="117"/>
      <c r="I682" s="107"/>
    </row>
    <row r="683" spans="1:9" ht="12">
      <c r="A683" s="113"/>
      <c r="B683" s="112"/>
      <c r="C683" s="171">
        <f>(2.6+0.815)*2*1.6</f>
        <v>10.928</v>
      </c>
      <c r="D683" s="172"/>
      <c r="E683" s="173"/>
      <c r="F683" s="173"/>
      <c r="G683" s="117"/>
      <c r="I683" s="107"/>
    </row>
    <row r="684" spans="1:9" ht="12">
      <c r="A684" s="113"/>
      <c r="B684" s="112" t="s">
        <v>197</v>
      </c>
      <c r="C684" s="171">
        <f>(6.65+2.57)*2*1.6</f>
        <v>29.504000000000005</v>
      </c>
      <c r="D684" s="172"/>
      <c r="E684" s="173"/>
      <c r="F684" s="173"/>
      <c r="G684" s="117"/>
      <c r="I684" s="107"/>
    </row>
    <row r="685" spans="1:9" ht="12">
      <c r="A685" s="113"/>
      <c r="B685" s="112"/>
      <c r="C685" s="171">
        <f>(6.4+3.5)*2*1.6</f>
        <v>31.680000000000003</v>
      </c>
      <c r="D685" s="172"/>
      <c r="E685" s="173"/>
      <c r="F685" s="173"/>
      <c r="G685" s="117"/>
      <c r="I685" s="107"/>
    </row>
    <row r="686" spans="1:9" ht="12">
      <c r="A686" s="113"/>
      <c r="B686" s="112" t="s">
        <v>198</v>
      </c>
      <c r="C686" s="171">
        <f>(10.2+2.54)*2*1.6</f>
        <v>40.768</v>
      </c>
      <c r="D686" s="172"/>
      <c r="E686" s="173"/>
      <c r="F686" s="173"/>
      <c r="G686" s="117"/>
      <c r="I686" s="107"/>
    </row>
    <row r="687" spans="1:9" ht="12">
      <c r="A687" s="113"/>
      <c r="B687" s="112" t="s">
        <v>217</v>
      </c>
      <c r="C687" s="171">
        <f>(2.3+0.89)*2*1.6</f>
        <v>10.208</v>
      </c>
      <c r="D687" s="172"/>
      <c r="E687" s="173"/>
      <c r="F687" s="173"/>
      <c r="G687" s="117"/>
      <c r="I687" s="107"/>
    </row>
    <row r="688" spans="1:9" ht="12">
      <c r="A688" s="113"/>
      <c r="B688" s="112" t="s">
        <v>221</v>
      </c>
      <c r="C688" s="171">
        <f>(1.5+1.71)*2*1.6</f>
        <v>10.272</v>
      </c>
      <c r="D688" s="172"/>
      <c r="E688" s="173"/>
      <c r="F688" s="173"/>
      <c r="G688" s="117"/>
      <c r="I688" s="107"/>
    </row>
    <row r="689" spans="1:9" s="108" customFormat="1" ht="12">
      <c r="A689" s="101"/>
      <c r="B689" s="106" t="s">
        <v>122</v>
      </c>
      <c r="C689" s="105">
        <f>(6.06+1.8)*2*1.6</f>
        <v>25.152</v>
      </c>
      <c r="D689" s="104"/>
      <c r="E689" s="199"/>
      <c r="F689" s="145"/>
      <c r="G689" s="200"/>
      <c r="H689" s="151"/>
      <c r="I689" s="107"/>
    </row>
    <row r="690" spans="1:9" s="108" customFormat="1" ht="12">
      <c r="A690" s="101"/>
      <c r="B690" s="106" t="s">
        <v>222</v>
      </c>
      <c r="C690" s="105">
        <f>(18.47+12.96)*2*1.6</f>
        <v>100.57600000000001</v>
      </c>
      <c r="D690" s="104"/>
      <c r="E690" s="199"/>
      <c r="F690" s="145"/>
      <c r="G690" s="200"/>
      <c r="H690" s="151"/>
      <c r="I690" s="107"/>
    </row>
    <row r="691" spans="1:9" s="108" customFormat="1" ht="12">
      <c r="A691" s="101"/>
      <c r="B691" s="101"/>
      <c r="C691" s="105">
        <f>(3.72+1.65)*2*1.6</f>
        <v>17.183999999999997</v>
      </c>
      <c r="D691" s="104"/>
      <c r="E691" s="199"/>
      <c r="F691" s="145"/>
      <c r="G691" s="200"/>
      <c r="H691" s="151"/>
      <c r="I691" s="107"/>
    </row>
    <row r="692" spans="1:9" s="108" customFormat="1" ht="12">
      <c r="A692" s="101"/>
      <c r="B692" s="101"/>
      <c r="C692" s="105">
        <f>(4.595+1.6)*2*1.6</f>
        <v>19.824</v>
      </c>
      <c r="D692" s="104"/>
      <c r="E692" s="199"/>
      <c r="F692" s="145"/>
      <c r="G692" s="200"/>
      <c r="H692" s="151"/>
      <c r="I692" s="107"/>
    </row>
    <row r="693" spans="1:9" s="108" customFormat="1" ht="12">
      <c r="A693" s="101"/>
      <c r="B693" s="101"/>
      <c r="C693" s="105">
        <f>SUM(C679:C692)</f>
        <v>419.46200000000005</v>
      </c>
      <c r="D693" s="104"/>
      <c r="E693" s="199"/>
      <c r="F693" s="145"/>
      <c r="G693" s="200"/>
      <c r="H693" s="151"/>
      <c r="I693" s="107"/>
    </row>
    <row r="694" spans="1:9" s="108" customFormat="1" ht="12">
      <c r="A694" s="101" t="s">
        <v>505</v>
      </c>
      <c r="B694" s="101" t="s">
        <v>506</v>
      </c>
      <c r="C694" s="105" t="s">
        <v>507</v>
      </c>
      <c r="D694" s="104" t="s">
        <v>83</v>
      </c>
      <c r="E694" s="199">
        <v>18</v>
      </c>
      <c r="F694" s="145">
        <v>0</v>
      </c>
      <c r="G694" s="200">
        <f>E694*F694</f>
        <v>0</v>
      </c>
      <c r="H694" s="151"/>
      <c r="I694" s="107"/>
    </row>
    <row r="695" spans="1:9" s="108" customFormat="1" ht="12">
      <c r="A695" s="101"/>
      <c r="B695" s="106" t="s">
        <v>95</v>
      </c>
      <c r="C695" s="105" t="s">
        <v>443</v>
      </c>
      <c r="D695" s="104"/>
      <c r="E695" s="199"/>
      <c r="F695" s="145"/>
      <c r="G695" s="200"/>
      <c r="H695" s="151"/>
      <c r="I695" s="107"/>
    </row>
    <row r="696" spans="1:9" s="108" customFormat="1" ht="12">
      <c r="A696" s="101"/>
      <c r="B696" s="106" t="s">
        <v>97</v>
      </c>
      <c r="C696" s="105" t="s">
        <v>508</v>
      </c>
      <c r="D696" s="104"/>
      <c r="E696" s="199"/>
      <c r="F696" s="145"/>
      <c r="G696" s="200"/>
      <c r="H696" s="151"/>
      <c r="I696" s="107"/>
    </row>
    <row r="697" spans="1:9" s="108" customFormat="1" ht="12">
      <c r="A697" s="101"/>
      <c r="B697" s="106" t="s">
        <v>99</v>
      </c>
      <c r="C697" s="105" t="s">
        <v>509</v>
      </c>
      <c r="D697" s="104"/>
      <c r="E697" s="199"/>
      <c r="F697" s="145"/>
      <c r="G697" s="200"/>
      <c r="H697" s="151"/>
      <c r="I697" s="107"/>
    </row>
    <row r="698" spans="1:9" s="108" customFormat="1" ht="12">
      <c r="A698" s="101" t="s">
        <v>510</v>
      </c>
      <c r="B698" s="101" t="s">
        <v>511</v>
      </c>
      <c r="C698" s="105" t="s">
        <v>512</v>
      </c>
      <c r="D698" s="104" t="s">
        <v>83</v>
      </c>
      <c r="E698" s="199">
        <v>21</v>
      </c>
      <c r="F698" s="145">
        <v>0</v>
      </c>
      <c r="G698" s="200">
        <f>E698*F698</f>
        <v>0</v>
      </c>
      <c r="H698" s="151"/>
      <c r="I698" s="107"/>
    </row>
    <row r="699" spans="1:9" s="108" customFormat="1" ht="12">
      <c r="A699" s="101"/>
      <c r="B699" s="106" t="s">
        <v>95</v>
      </c>
      <c r="C699" s="105" t="s">
        <v>446</v>
      </c>
      <c r="D699" s="104"/>
      <c r="E699" s="199"/>
      <c r="F699" s="145"/>
      <c r="G699" s="200"/>
      <c r="H699" s="151"/>
      <c r="I699" s="107"/>
    </row>
    <row r="700" spans="1:9" s="108" customFormat="1" ht="12">
      <c r="A700" s="101"/>
      <c r="B700" s="106" t="s">
        <v>97</v>
      </c>
      <c r="C700" s="105" t="s">
        <v>513</v>
      </c>
      <c r="D700" s="104"/>
      <c r="E700" s="199"/>
      <c r="F700" s="145"/>
      <c r="G700" s="200"/>
      <c r="H700" s="151"/>
      <c r="I700" s="107"/>
    </row>
    <row r="701" spans="1:9" s="108" customFormat="1" ht="12">
      <c r="A701" s="101"/>
      <c r="B701" s="106" t="s">
        <v>99</v>
      </c>
      <c r="C701" s="105" t="s">
        <v>444</v>
      </c>
      <c r="D701" s="104"/>
      <c r="E701" s="199"/>
      <c r="F701" s="145"/>
      <c r="G701" s="200"/>
      <c r="H701" s="151"/>
      <c r="I701" s="107"/>
    </row>
    <row r="702" spans="1:9" s="108" customFormat="1" ht="12">
      <c r="A702" s="101" t="s">
        <v>514</v>
      </c>
      <c r="B702" s="101" t="s">
        <v>515</v>
      </c>
      <c r="C702" s="105" t="s">
        <v>516</v>
      </c>
      <c r="D702" s="104" t="s">
        <v>83</v>
      </c>
      <c r="E702" s="199">
        <v>5</v>
      </c>
      <c r="F702" s="145">
        <v>0</v>
      </c>
      <c r="G702" s="200">
        <f>E702*F702</f>
        <v>0</v>
      </c>
      <c r="H702" s="151"/>
      <c r="I702" s="107"/>
    </row>
    <row r="703" spans="1:9" s="108" customFormat="1" ht="12">
      <c r="A703" s="101"/>
      <c r="B703" s="106" t="s">
        <v>95</v>
      </c>
      <c r="C703" s="105" t="s">
        <v>112</v>
      </c>
      <c r="D703" s="104"/>
      <c r="E703" s="199"/>
      <c r="F703" s="145"/>
      <c r="G703" s="200"/>
      <c r="H703" s="151"/>
      <c r="I703" s="107"/>
    </row>
    <row r="704" spans="1:9" s="108" customFormat="1" ht="12">
      <c r="A704" s="101"/>
      <c r="B704" s="106" t="s">
        <v>97</v>
      </c>
      <c r="C704" s="105" t="s">
        <v>112</v>
      </c>
      <c r="D704" s="104"/>
      <c r="E704" s="199"/>
      <c r="F704" s="145"/>
      <c r="G704" s="200"/>
      <c r="H704" s="151"/>
      <c r="I704" s="107"/>
    </row>
    <row r="705" spans="1:9" s="108" customFormat="1" ht="12">
      <c r="A705" s="101"/>
      <c r="B705" s="106" t="s">
        <v>99</v>
      </c>
      <c r="C705" s="105" t="s">
        <v>443</v>
      </c>
      <c r="D705" s="104"/>
      <c r="E705" s="199"/>
      <c r="F705" s="145"/>
      <c r="G705" s="200"/>
      <c r="H705" s="151"/>
      <c r="I705" s="107"/>
    </row>
    <row r="706" spans="1:9" s="108" customFormat="1" ht="12">
      <c r="A706" s="101" t="s">
        <v>517</v>
      </c>
      <c r="B706" s="101" t="s">
        <v>518</v>
      </c>
      <c r="C706" s="105" t="s">
        <v>519</v>
      </c>
      <c r="D706" s="104" t="s">
        <v>83</v>
      </c>
      <c r="E706" s="199">
        <v>9</v>
      </c>
      <c r="F706" s="145">
        <v>0</v>
      </c>
      <c r="G706" s="200">
        <f>E706*F706</f>
        <v>0</v>
      </c>
      <c r="H706" s="151"/>
      <c r="I706" s="107"/>
    </row>
    <row r="707" spans="1:9" s="108" customFormat="1" ht="12">
      <c r="A707" s="101"/>
      <c r="B707" s="106" t="s">
        <v>95</v>
      </c>
      <c r="C707" s="105" t="s">
        <v>443</v>
      </c>
      <c r="D707" s="104"/>
      <c r="E707" s="199"/>
      <c r="F707" s="145"/>
      <c r="G707" s="200"/>
      <c r="H707" s="151"/>
      <c r="I707" s="107"/>
    </row>
    <row r="708" spans="1:9" s="108" customFormat="1" ht="12">
      <c r="A708" s="101"/>
      <c r="B708" s="106" t="s">
        <v>97</v>
      </c>
      <c r="C708" s="105" t="s">
        <v>446</v>
      </c>
      <c r="D708" s="104"/>
      <c r="E708" s="199"/>
      <c r="F708" s="145"/>
      <c r="G708" s="200"/>
      <c r="H708" s="151"/>
      <c r="I708" s="107"/>
    </row>
    <row r="709" spans="1:9" s="108" customFormat="1" ht="12">
      <c r="A709" s="101"/>
      <c r="B709" s="106" t="s">
        <v>99</v>
      </c>
      <c r="C709" s="105" t="s">
        <v>520</v>
      </c>
      <c r="D709" s="104"/>
      <c r="E709" s="199"/>
      <c r="F709" s="145"/>
      <c r="G709" s="200"/>
      <c r="H709" s="151"/>
      <c r="I709" s="107"/>
    </row>
    <row r="710" spans="1:9" s="108" customFormat="1" ht="12">
      <c r="A710" s="101" t="s">
        <v>521</v>
      </c>
      <c r="B710" s="101" t="s">
        <v>522</v>
      </c>
      <c r="C710" s="101" t="s">
        <v>523</v>
      </c>
      <c r="D710" s="104" t="s">
        <v>358</v>
      </c>
      <c r="E710" s="199">
        <v>116.11</v>
      </c>
      <c r="F710" s="145">
        <v>0</v>
      </c>
      <c r="G710" s="200">
        <f aca="true" t="shared" si="1" ref="G710:G716">E710*F710</f>
        <v>0</v>
      </c>
      <c r="H710" s="107"/>
      <c r="I710" s="107"/>
    </row>
    <row r="711" spans="1:9" s="108" customFormat="1" ht="12">
      <c r="A711" s="101" t="s">
        <v>524</v>
      </c>
      <c r="B711" s="101" t="s">
        <v>525</v>
      </c>
      <c r="C711" s="101" t="s">
        <v>526</v>
      </c>
      <c r="D711" s="104" t="s">
        <v>358</v>
      </c>
      <c r="E711" s="199">
        <v>232.22</v>
      </c>
      <c r="F711" s="145">
        <v>0</v>
      </c>
      <c r="G711" s="200">
        <f t="shared" si="1"/>
        <v>0</v>
      </c>
      <c r="H711" s="107"/>
      <c r="I711" s="107"/>
    </row>
    <row r="712" spans="1:9" s="159" customFormat="1" ht="15.75" customHeight="1">
      <c r="A712" s="101" t="s">
        <v>527</v>
      </c>
      <c r="B712" s="152" t="s">
        <v>528</v>
      </c>
      <c r="C712" s="152" t="s">
        <v>529</v>
      </c>
      <c r="D712" s="195" t="s">
        <v>358</v>
      </c>
      <c r="E712" s="163">
        <v>116.11</v>
      </c>
      <c r="F712" s="144">
        <v>0</v>
      </c>
      <c r="G712" s="164">
        <f t="shared" si="1"/>
        <v>0</v>
      </c>
      <c r="H712" s="158"/>
      <c r="I712" s="158"/>
    </row>
    <row r="713" spans="1:9" s="159" customFormat="1" ht="12">
      <c r="A713" s="101" t="s">
        <v>530</v>
      </c>
      <c r="B713" s="152" t="s">
        <v>531</v>
      </c>
      <c r="C713" s="152" t="s">
        <v>532</v>
      </c>
      <c r="D713" s="195" t="s">
        <v>358</v>
      </c>
      <c r="E713" s="163">
        <v>580.55</v>
      </c>
      <c r="F713" s="144">
        <v>0</v>
      </c>
      <c r="G713" s="164">
        <f t="shared" si="1"/>
        <v>0</v>
      </c>
      <c r="H713" s="158"/>
      <c r="I713" s="158"/>
    </row>
    <row r="714" spans="1:9" s="108" customFormat="1" ht="13.5" customHeight="1">
      <c r="A714" s="101" t="s">
        <v>533</v>
      </c>
      <c r="B714" s="101" t="s">
        <v>534</v>
      </c>
      <c r="C714" s="101" t="s">
        <v>535</v>
      </c>
      <c r="D714" s="104" t="s">
        <v>358</v>
      </c>
      <c r="E714" s="199">
        <v>116.11</v>
      </c>
      <c r="F714" s="145">
        <v>0</v>
      </c>
      <c r="G714" s="200">
        <f t="shared" si="1"/>
        <v>0</v>
      </c>
      <c r="H714" s="107"/>
      <c r="I714" s="107"/>
    </row>
    <row r="715" spans="1:9" s="108" customFormat="1" ht="12">
      <c r="A715" s="101" t="s">
        <v>536</v>
      </c>
      <c r="B715" s="101" t="s">
        <v>537</v>
      </c>
      <c r="C715" s="101" t="s">
        <v>538</v>
      </c>
      <c r="D715" s="104" t="s">
        <v>358</v>
      </c>
      <c r="E715" s="199">
        <v>1161.1</v>
      </c>
      <c r="F715" s="145">
        <v>0</v>
      </c>
      <c r="G715" s="200">
        <f t="shared" si="1"/>
        <v>0</v>
      </c>
      <c r="H715" s="107"/>
      <c r="I715" s="107"/>
    </row>
    <row r="716" spans="1:9" s="108" customFormat="1" ht="12">
      <c r="A716" s="101" t="s">
        <v>539</v>
      </c>
      <c r="B716" s="131" t="s">
        <v>540</v>
      </c>
      <c r="C716" s="120" t="s">
        <v>541</v>
      </c>
      <c r="D716" s="133" t="s">
        <v>358</v>
      </c>
      <c r="E716" s="252">
        <v>116.11</v>
      </c>
      <c r="F716" s="253">
        <v>0</v>
      </c>
      <c r="G716" s="254">
        <f t="shared" si="1"/>
        <v>0</v>
      </c>
      <c r="H716" s="107"/>
      <c r="I716" s="107"/>
    </row>
    <row r="717" spans="1:9" s="108" customFormat="1" ht="12">
      <c r="A717" s="124"/>
      <c r="B717" s="221"/>
      <c r="C717" s="126" t="s">
        <v>160</v>
      </c>
      <c r="D717" s="207"/>
      <c r="E717" s="208"/>
      <c r="F717" s="222"/>
      <c r="G717" s="209">
        <f>SUM(G404:G716)</f>
        <v>0</v>
      </c>
      <c r="H717" s="107"/>
      <c r="I717" s="107"/>
    </row>
    <row r="718" spans="1:9" s="108" customFormat="1" ht="12">
      <c r="A718" s="101"/>
      <c r="B718" s="102" t="s">
        <v>542</v>
      </c>
      <c r="C718" s="216" t="s">
        <v>21</v>
      </c>
      <c r="D718" s="217"/>
      <c r="E718" s="218"/>
      <c r="F718" s="218"/>
      <c r="G718" s="140"/>
      <c r="H718" s="107"/>
      <c r="I718" s="107"/>
    </row>
    <row r="719" spans="1:9" s="108" customFormat="1" ht="12">
      <c r="A719" s="101" t="s">
        <v>543</v>
      </c>
      <c r="B719" s="109" t="s">
        <v>544</v>
      </c>
      <c r="C719" s="148" t="s">
        <v>545</v>
      </c>
      <c r="D719" s="148" t="s">
        <v>93</v>
      </c>
      <c r="E719" s="149">
        <v>38.43</v>
      </c>
      <c r="F719" s="149">
        <v>0</v>
      </c>
      <c r="G719" s="111">
        <f>E719*F719</f>
        <v>0</v>
      </c>
      <c r="H719" s="107"/>
      <c r="I719" s="107"/>
    </row>
    <row r="720" spans="1:9" s="108" customFormat="1" ht="12">
      <c r="A720" s="101"/>
      <c r="B720" s="112" t="s">
        <v>546</v>
      </c>
      <c r="C720" s="148">
        <f>5.2+4.2</f>
        <v>9.4</v>
      </c>
      <c r="D720" s="148"/>
      <c r="E720" s="149"/>
      <c r="F720" s="149"/>
      <c r="G720" s="111"/>
      <c r="H720" s="107"/>
      <c r="I720" s="107"/>
    </row>
    <row r="721" spans="1:9" s="108" customFormat="1" ht="12">
      <c r="A721" s="101"/>
      <c r="B721" s="112" t="s">
        <v>547</v>
      </c>
      <c r="C721" s="148">
        <f>(5.4+5.8+4.3+2.3)</f>
        <v>17.8</v>
      </c>
      <c r="D721" s="148"/>
      <c r="E721" s="149"/>
      <c r="F721" s="149"/>
      <c r="G721" s="111"/>
      <c r="H721" s="107"/>
      <c r="I721" s="107"/>
    </row>
    <row r="722" spans="1:7" ht="12">
      <c r="A722" s="113"/>
      <c r="B722" s="112" t="s">
        <v>220</v>
      </c>
      <c r="C722" s="148">
        <f>4.5</f>
        <v>4.5</v>
      </c>
      <c r="D722" s="172"/>
      <c r="E722" s="173"/>
      <c r="F722" s="173"/>
      <c r="G722" s="117"/>
    </row>
    <row r="723" spans="1:7" ht="12">
      <c r="A723" s="113"/>
      <c r="B723" s="112" t="s">
        <v>548</v>
      </c>
      <c r="C723" s="148">
        <f>(67.28*0.1)</f>
        <v>6.728000000000001</v>
      </c>
      <c r="D723" s="172"/>
      <c r="E723" s="173"/>
      <c r="F723" s="173"/>
      <c r="G723" s="117"/>
    </row>
    <row r="724" spans="1:7" ht="12">
      <c r="A724" s="113"/>
      <c r="B724" s="112"/>
      <c r="C724" s="148">
        <f>SUM(C720:C723)</f>
        <v>38.428000000000004</v>
      </c>
      <c r="D724" s="172"/>
      <c r="E724" s="173"/>
      <c r="F724" s="173"/>
      <c r="G724" s="117"/>
    </row>
    <row r="725" spans="1:9" s="108" customFormat="1" ht="12">
      <c r="A725" s="101" t="s">
        <v>549</v>
      </c>
      <c r="B725" s="109" t="s">
        <v>550</v>
      </c>
      <c r="C725" s="148" t="s">
        <v>551</v>
      </c>
      <c r="D725" s="148" t="s">
        <v>157</v>
      </c>
      <c r="E725" s="149">
        <v>67.26</v>
      </c>
      <c r="F725" s="149">
        <v>0</v>
      </c>
      <c r="G725" s="111">
        <f>E725*F725</f>
        <v>0</v>
      </c>
      <c r="H725" s="107"/>
      <c r="I725" s="107"/>
    </row>
    <row r="726" spans="1:9" s="108" customFormat="1" ht="12">
      <c r="A726" s="101"/>
      <c r="B726" s="112" t="s">
        <v>546</v>
      </c>
      <c r="C726" s="148">
        <f>(2.45+2.1)*2+(2+2.1)*2</f>
        <v>17.3</v>
      </c>
      <c r="D726" s="148"/>
      <c r="E726" s="149"/>
      <c r="F726" s="149"/>
      <c r="G726" s="111"/>
      <c r="H726" s="107"/>
      <c r="I726" s="107"/>
    </row>
    <row r="727" spans="1:9" s="108" customFormat="1" ht="12">
      <c r="A727" s="101"/>
      <c r="B727" s="112" t="s">
        <v>547</v>
      </c>
      <c r="C727" s="148">
        <f>(1.83+1.9)*2+(1.27+1.71)*2+(2.97+1.95)*2+(3.6+1.2)*2+(1.89+2.4)*2</f>
        <v>41.44</v>
      </c>
      <c r="D727" s="148"/>
      <c r="E727" s="149"/>
      <c r="F727" s="149"/>
      <c r="G727" s="111"/>
      <c r="H727" s="107"/>
      <c r="I727" s="107"/>
    </row>
    <row r="728" spans="1:9" s="108" customFormat="1" ht="12">
      <c r="A728" s="101"/>
      <c r="B728" s="112" t="s">
        <v>220</v>
      </c>
      <c r="C728" s="148">
        <f>(2.4+1.86)*2</f>
        <v>8.52</v>
      </c>
      <c r="D728" s="148"/>
      <c r="E728" s="149"/>
      <c r="F728" s="149"/>
      <c r="G728" s="111"/>
      <c r="H728" s="107"/>
      <c r="I728" s="107"/>
    </row>
    <row r="729" spans="1:9" s="108" customFormat="1" ht="12">
      <c r="A729" s="101"/>
      <c r="B729" s="112"/>
      <c r="C729" s="148">
        <f>SUM(C726:C728)</f>
        <v>67.25999999999999</v>
      </c>
      <c r="D729" s="148"/>
      <c r="E729" s="149"/>
      <c r="F729" s="149"/>
      <c r="G729" s="111"/>
      <c r="H729" s="107"/>
      <c r="I729" s="107"/>
    </row>
    <row r="730" spans="1:9" s="108" customFormat="1" ht="12">
      <c r="A730" s="101" t="s">
        <v>552</v>
      </c>
      <c r="B730" s="141" t="s">
        <v>553</v>
      </c>
      <c r="C730" s="148" t="s">
        <v>554</v>
      </c>
      <c r="D730" s="148" t="s">
        <v>555</v>
      </c>
      <c r="E730" s="149">
        <f>SUM(G719:G728)/100</f>
        <v>0</v>
      </c>
      <c r="F730" s="149">
        <v>8</v>
      </c>
      <c r="G730" s="111">
        <f>ROUND(PRODUCT(E730*F730),0)</f>
        <v>0</v>
      </c>
      <c r="H730" s="107"/>
      <c r="I730" s="107"/>
    </row>
    <row r="731" spans="1:9" s="108" customFormat="1" ht="12">
      <c r="A731" s="101" t="s">
        <v>556</v>
      </c>
      <c r="B731" s="255" t="s">
        <v>553</v>
      </c>
      <c r="C731" s="213" t="s">
        <v>557</v>
      </c>
      <c r="D731" s="214" t="s">
        <v>555</v>
      </c>
      <c r="E731" s="215">
        <f>SUM(G719:G728)/100</f>
        <v>0</v>
      </c>
      <c r="F731" s="215">
        <v>2</v>
      </c>
      <c r="G731" s="135">
        <f>ROUND(PRODUCT(E731*F731),0)</f>
        <v>0</v>
      </c>
      <c r="H731" s="107"/>
      <c r="I731" s="107"/>
    </row>
    <row r="732" spans="1:9" s="108" customFormat="1" ht="12">
      <c r="A732" s="124"/>
      <c r="B732" s="221"/>
      <c r="C732" s="126" t="s">
        <v>160</v>
      </c>
      <c r="D732" s="207"/>
      <c r="E732" s="208"/>
      <c r="F732" s="222"/>
      <c r="G732" s="209">
        <f>SUM(G719:G731)</f>
        <v>0</v>
      </c>
      <c r="H732" s="107"/>
      <c r="I732" s="107"/>
    </row>
    <row r="733" spans="1:9" s="108" customFormat="1" ht="12">
      <c r="A733" s="101"/>
      <c r="B733" s="102">
        <v>713</v>
      </c>
      <c r="C733" s="216" t="s">
        <v>22</v>
      </c>
      <c r="D733" s="217"/>
      <c r="E733" s="218"/>
      <c r="F733" s="218"/>
      <c r="G733" s="140"/>
      <c r="H733" s="107"/>
      <c r="I733" s="107"/>
    </row>
    <row r="734" spans="1:9" s="108" customFormat="1" ht="12">
      <c r="A734" s="101" t="s">
        <v>558</v>
      </c>
      <c r="B734" s="256" t="s">
        <v>559</v>
      </c>
      <c r="C734" s="257" t="s">
        <v>1450</v>
      </c>
      <c r="D734" s="258" t="s">
        <v>157</v>
      </c>
      <c r="E734" s="259">
        <v>36</v>
      </c>
      <c r="F734" s="259">
        <v>0</v>
      </c>
      <c r="G734" s="260">
        <f>E734*F734</f>
        <v>0</v>
      </c>
      <c r="H734" s="261"/>
      <c r="I734" s="107"/>
    </row>
    <row r="735" spans="1:9" s="108" customFormat="1" ht="12">
      <c r="A735" s="101" t="s">
        <v>560</v>
      </c>
      <c r="B735" s="256" t="s">
        <v>561</v>
      </c>
      <c r="C735" s="257" t="s">
        <v>1451</v>
      </c>
      <c r="D735" s="258" t="s">
        <v>157</v>
      </c>
      <c r="E735" s="259">
        <v>48</v>
      </c>
      <c r="F735" s="259">
        <v>0</v>
      </c>
      <c r="G735" s="260">
        <f>E735*F735</f>
        <v>0</v>
      </c>
      <c r="H735" s="107"/>
      <c r="I735" s="107"/>
    </row>
    <row r="736" spans="1:9" s="108" customFormat="1" ht="15.75" customHeight="1">
      <c r="A736" s="101" t="s">
        <v>562</v>
      </c>
      <c r="B736" s="262" t="s">
        <v>563</v>
      </c>
      <c r="C736" s="263" t="s">
        <v>564</v>
      </c>
      <c r="D736" s="264" t="s">
        <v>555</v>
      </c>
      <c r="E736" s="265">
        <f>SUM(G734:G735)/100</f>
        <v>0</v>
      </c>
      <c r="F736" s="265">
        <v>5</v>
      </c>
      <c r="G736" s="266">
        <f>ROUND((E736*F736),0)</f>
        <v>0</v>
      </c>
      <c r="H736" s="107"/>
      <c r="I736" s="107"/>
    </row>
    <row r="737" spans="1:9" s="108" customFormat="1" ht="12">
      <c r="A737" s="124"/>
      <c r="B737" s="221"/>
      <c r="C737" s="126" t="s">
        <v>160</v>
      </c>
      <c r="D737" s="207"/>
      <c r="E737" s="208"/>
      <c r="F737" s="222"/>
      <c r="G737" s="209">
        <f>SUM(G734:G736)</f>
        <v>0</v>
      </c>
      <c r="H737" s="107"/>
      <c r="I737" s="107"/>
    </row>
    <row r="738" spans="1:9" s="108" customFormat="1" ht="12">
      <c r="A738" s="101"/>
      <c r="B738" s="267" t="s">
        <v>565</v>
      </c>
      <c r="C738" s="268" t="s">
        <v>23</v>
      </c>
      <c r="D738" s="217"/>
      <c r="E738" s="218"/>
      <c r="F738" s="218"/>
      <c r="G738" s="140"/>
      <c r="H738" s="107"/>
      <c r="I738" s="107"/>
    </row>
    <row r="739" spans="1:80" s="276" customFormat="1" ht="12">
      <c r="A739" s="269" t="s">
        <v>566</v>
      </c>
      <c r="B739" s="270" t="s">
        <v>567</v>
      </c>
      <c r="C739" s="271" t="s">
        <v>568</v>
      </c>
      <c r="D739" s="272" t="s">
        <v>157</v>
      </c>
      <c r="E739" s="273">
        <v>28</v>
      </c>
      <c r="F739" s="273">
        <v>0</v>
      </c>
      <c r="G739" s="274">
        <f aca="true" t="shared" si="2" ref="G739:G745">E739*F739</f>
        <v>0</v>
      </c>
      <c r="H739" s="275"/>
      <c r="I739" s="275"/>
      <c r="J739" s="275"/>
      <c r="K739" s="275"/>
      <c r="BB739" s="276">
        <v>2</v>
      </c>
      <c r="BC739" s="276">
        <f aca="true" t="shared" si="3" ref="BC739:BC744">IF(BB739=1,G739,0)</f>
        <v>0</v>
      </c>
      <c r="BD739" s="277">
        <f aca="true" t="shared" si="4" ref="BD739:BD744">IF(BB739=2,G739,0)</f>
        <v>0</v>
      </c>
      <c r="BE739" s="276">
        <f aca="true" t="shared" si="5" ref="BE739:BE744">IF(BB739=3,G739,0)</f>
        <v>0</v>
      </c>
      <c r="BF739" s="276">
        <f aca="true" t="shared" si="6" ref="BF739:BF744">IF(BB739=4,G739,0)</f>
        <v>0</v>
      </c>
      <c r="BG739" s="276">
        <f aca="true" t="shared" si="7" ref="BG739:BG744">IF(BB739=5,G739,0)</f>
        <v>0</v>
      </c>
      <c r="CA739" s="276">
        <v>1</v>
      </c>
      <c r="CB739" s="276">
        <v>7</v>
      </c>
    </row>
    <row r="740" spans="1:80" s="276" customFormat="1" ht="12">
      <c r="A740" s="269" t="s">
        <v>569</v>
      </c>
      <c r="B740" s="270" t="s">
        <v>570</v>
      </c>
      <c r="C740" s="271" t="s">
        <v>571</v>
      </c>
      <c r="D740" s="272" t="s">
        <v>157</v>
      </c>
      <c r="E740" s="273">
        <v>22</v>
      </c>
      <c r="F740" s="273">
        <v>0</v>
      </c>
      <c r="G740" s="274">
        <f t="shared" si="2"/>
        <v>0</v>
      </c>
      <c r="H740" s="275"/>
      <c r="I740" s="275"/>
      <c r="J740" s="275"/>
      <c r="K740" s="275"/>
      <c r="BB740" s="276">
        <v>2</v>
      </c>
      <c r="BC740" s="276">
        <f t="shared" si="3"/>
        <v>0</v>
      </c>
      <c r="BD740" s="277">
        <f t="shared" si="4"/>
        <v>0</v>
      </c>
      <c r="BE740" s="276">
        <f t="shared" si="5"/>
        <v>0</v>
      </c>
      <c r="BF740" s="276">
        <f t="shared" si="6"/>
        <v>0</v>
      </c>
      <c r="BG740" s="276">
        <f t="shared" si="7"/>
        <v>0</v>
      </c>
      <c r="CA740" s="276">
        <v>1</v>
      </c>
      <c r="CB740" s="276">
        <v>7</v>
      </c>
    </row>
    <row r="741" spans="1:80" s="276" customFormat="1" ht="12">
      <c r="A741" s="269" t="s">
        <v>572</v>
      </c>
      <c r="B741" s="270" t="s">
        <v>573</v>
      </c>
      <c r="C741" s="271" t="s">
        <v>574</v>
      </c>
      <c r="D741" s="272" t="s">
        <v>157</v>
      </c>
      <c r="E741" s="273">
        <v>28</v>
      </c>
      <c r="F741" s="273">
        <v>0</v>
      </c>
      <c r="G741" s="274">
        <f t="shared" si="2"/>
        <v>0</v>
      </c>
      <c r="H741" s="275"/>
      <c r="I741" s="275"/>
      <c r="J741" s="275"/>
      <c r="K741" s="275"/>
      <c r="BB741" s="276">
        <v>2</v>
      </c>
      <c r="BC741" s="276">
        <f t="shared" si="3"/>
        <v>0</v>
      </c>
      <c r="BD741" s="277">
        <f t="shared" si="4"/>
        <v>0</v>
      </c>
      <c r="BE741" s="276">
        <f t="shared" si="5"/>
        <v>0</v>
      </c>
      <c r="BF741" s="276">
        <f t="shared" si="6"/>
        <v>0</v>
      </c>
      <c r="BG741" s="276">
        <f t="shared" si="7"/>
        <v>0</v>
      </c>
      <c r="CA741" s="276">
        <v>1</v>
      </c>
      <c r="CB741" s="276">
        <v>7</v>
      </c>
    </row>
    <row r="742" spans="1:80" s="276" customFormat="1" ht="12">
      <c r="A742" s="269" t="s">
        <v>575</v>
      </c>
      <c r="B742" s="270" t="s">
        <v>576</v>
      </c>
      <c r="C742" s="271" t="s">
        <v>577</v>
      </c>
      <c r="D742" s="272" t="s">
        <v>83</v>
      </c>
      <c r="E742" s="273">
        <v>16</v>
      </c>
      <c r="F742" s="273">
        <v>0</v>
      </c>
      <c r="G742" s="274">
        <f t="shared" si="2"/>
        <v>0</v>
      </c>
      <c r="H742" s="275"/>
      <c r="I742" s="275"/>
      <c r="J742" s="275"/>
      <c r="K742" s="275"/>
      <c r="BB742" s="276">
        <v>2</v>
      </c>
      <c r="BC742" s="276">
        <f t="shared" si="3"/>
        <v>0</v>
      </c>
      <c r="BD742" s="277">
        <f t="shared" si="4"/>
        <v>0</v>
      </c>
      <c r="BE742" s="276">
        <f t="shared" si="5"/>
        <v>0</v>
      </c>
      <c r="BF742" s="276">
        <f t="shared" si="6"/>
        <v>0</v>
      </c>
      <c r="BG742" s="276">
        <f t="shared" si="7"/>
        <v>0</v>
      </c>
      <c r="CA742" s="276">
        <v>1</v>
      </c>
      <c r="CB742" s="276">
        <v>7</v>
      </c>
    </row>
    <row r="743" spans="1:80" s="276" customFormat="1" ht="12">
      <c r="A743" s="269" t="s">
        <v>578</v>
      </c>
      <c r="B743" s="270" t="s">
        <v>579</v>
      </c>
      <c r="C743" s="271" t="s">
        <v>580</v>
      </c>
      <c r="D743" s="272" t="s">
        <v>83</v>
      </c>
      <c r="E743" s="273">
        <v>16</v>
      </c>
      <c r="F743" s="273">
        <v>0</v>
      </c>
      <c r="G743" s="274">
        <f t="shared" si="2"/>
        <v>0</v>
      </c>
      <c r="H743" s="275"/>
      <c r="I743" s="275"/>
      <c r="J743" s="275"/>
      <c r="K743" s="275"/>
      <c r="BB743" s="276">
        <v>2</v>
      </c>
      <c r="BC743" s="276">
        <f t="shared" si="3"/>
        <v>0</v>
      </c>
      <c r="BD743" s="277">
        <f t="shared" si="4"/>
        <v>0</v>
      </c>
      <c r="BE743" s="276">
        <f t="shared" si="5"/>
        <v>0</v>
      </c>
      <c r="BF743" s="276">
        <f t="shared" si="6"/>
        <v>0</v>
      </c>
      <c r="BG743" s="276">
        <f t="shared" si="7"/>
        <v>0</v>
      </c>
      <c r="CA743" s="276">
        <v>1</v>
      </c>
      <c r="CB743" s="276">
        <v>7</v>
      </c>
    </row>
    <row r="744" spans="1:80" s="276" customFormat="1" ht="12">
      <c r="A744" s="538" t="s">
        <v>581</v>
      </c>
      <c r="B744" s="539" t="s">
        <v>582</v>
      </c>
      <c r="C744" s="540" t="s">
        <v>583</v>
      </c>
      <c r="D744" s="660" t="s">
        <v>157</v>
      </c>
      <c r="E744" s="542">
        <v>78</v>
      </c>
      <c r="F744" s="542">
        <v>0</v>
      </c>
      <c r="G744" s="543">
        <f t="shared" si="2"/>
        <v>0</v>
      </c>
      <c r="H744" s="275"/>
      <c r="I744" s="275"/>
      <c r="J744" s="275"/>
      <c r="K744" s="275"/>
      <c r="BB744" s="276">
        <v>2</v>
      </c>
      <c r="BC744" s="276">
        <f t="shared" si="3"/>
        <v>0</v>
      </c>
      <c r="BD744" s="277">
        <f t="shared" si="4"/>
        <v>0</v>
      </c>
      <c r="BE744" s="276">
        <f t="shared" si="5"/>
        <v>0</v>
      </c>
      <c r="BF744" s="276">
        <f t="shared" si="6"/>
        <v>0</v>
      </c>
      <c r="BG744" s="276">
        <f t="shared" si="7"/>
        <v>0</v>
      </c>
      <c r="CA744" s="276">
        <v>1</v>
      </c>
      <c r="CB744" s="276">
        <v>7</v>
      </c>
    </row>
    <row r="745" spans="1:80" s="276" customFormat="1" ht="12">
      <c r="A745" s="538" t="s">
        <v>584</v>
      </c>
      <c r="B745" s="539" t="s">
        <v>585</v>
      </c>
      <c r="C745" s="540" t="s">
        <v>586</v>
      </c>
      <c r="D745" s="660" t="s">
        <v>104</v>
      </c>
      <c r="E745" s="542">
        <v>15</v>
      </c>
      <c r="F745" s="542">
        <v>0</v>
      </c>
      <c r="G745" s="543">
        <f t="shared" si="2"/>
        <v>0</v>
      </c>
      <c r="H745" s="275"/>
      <c r="I745" s="275"/>
      <c r="J745" s="275"/>
      <c r="K745" s="275"/>
      <c r="AA745" s="108"/>
      <c r="AB745" s="108"/>
      <c r="AC745" s="108"/>
      <c r="BB745" s="108"/>
      <c r="BC745" s="108"/>
      <c r="BD745" s="108"/>
      <c r="BE745" s="108"/>
      <c r="BF745" s="108"/>
      <c r="BG745" s="108"/>
      <c r="CA745" s="108"/>
      <c r="CB745" s="108"/>
    </row>
    <row r="746" spans="1:80" s="276" customFormat="1" ht="12">
      <c r="A746" s="538" t="s">
        <v>587</v>
      </c>
      <c r="B746" s="539" t="s">
        <v>588</v>
      </c>
      <c r="C746" s="540" t="s">
        <v>589</v>
      </c>
      <c r="D746" s="685" t="s">
        <v>555</v>
      </c>
      <c r="E746" s="546">
        <f>SUM(G739:G745)/100</f>
        <v>0</v>
      </c>
      <c r="F746" s="546">
        <v>5</v>
      </c>
      <c r="G746" s="547">
        <f>ROUND((E746*F746),0)</f>
        <v>0</v>
      </c>
      <c r="H746" s="275"/>
      <c r="I746" s="275"/>
      <c r="J746" s="275"/>
      <c r="K746" s="275"/>
      <c r="BB746" s="276">
        <v>2</v>
      </c>
      <c r="BC746" s="276">
        <f>IF(BB746=1,G746,0)</f>
        <v>0</v>
      </c>
      <c r="BD746" s="277">
        <f>IF(BB746=2,G746,0)</f>
        <v>0</v>
      </c>
      <c r="BE746" s="276">
        <f>IF(BB746=3,G746,0)</f>
        <v>0</v>
      </c>
      <c r="BF746" s="276">
        <f>IF(BB746=4,G746,0)</f>
        <v>0</v>
      </c>
      <c r="BG746" s="276">
        <f>IF(BB746=5,G746,0)</f>
        <v>0</v>
      </c>
      <c r="CA746" s="276">
        <v>1</v>
      </c>
      <c r="CB746" s="276">
        <v>7</v>
      </c>
    </row>
    <row r="747" spans="1:9" s="108" customFormat="1" ht="12.75" thickBot="1">
      <c r="A747" s="655" t="s">
        <v>590</v>
      </c>
      <c r="B747" s="671" t="s">
        <v>591</v>
      </c>
      <c r="C747" s="672" t="s">
        <v>592</v>
      </c>
      <c r="D747" s="292" t="s">
        <v>593</v>
      </c>
      <c r="E747" s="293">
        <v>20</v>
      </c>
      <c r="F747" s="293">
        <v>0</v>
      </c>
      <c r="G747" s="684">
        <f>E747*F747</f>
        <v>0</v>
      </c>
      <c r="H747" s="107"/>
      <c r="I747" s="107"/>
    </row>
    <row r="748" spans="1:9" s="108" customFormat="1" ht="12">
      <c r="A748" s="124"/>
      <c r="B748" s="280"/>
      <c r="C748" s="126" t="s">
        <v>160</v>
      </c>
      <c r="D748" s="281"/>
      <c r="E748" s="282"/>
      <c r="F748" s="282"/>
      <c r="G748" s="283">
        <f>SUM(G739:G747)</f>
        <v>0</v>
      </c>
      <c r="H748" s="107"/>
      <c r="I748" s="107"/>
    </row>
    <row r="749" spans="1:9" s="108" customFormat="1" ht="12">
      <c r="A749" s="101"/>
      <c r="B749" s="267" t="s">
        <v>594</v>
      </c>
      <c r="C749" s="268" t="s">
        <v>24</v>
      </c>
      <c r="D749" s="284"/>
      <c r="E749" s="285"/>
      <c r="F749" s="285"/>
      <c r="G749" s="286"/>
      <c r="H749" s="107"/>
      <c r="I749" s="107"/>
    </row>
    <row r="750" spans="1:80" s="276" customFormat="1" ht="12">
      <c r="A750" s="269" t="s">
        <v>595</v>
      </c>
      <c r="B750" s="270" t="s">
        <v>596</v>
      </c>
      <c r="C750" s="271" t="s">
        <v>1452</v>
      </c>
      <c r="D750" s="272" t="s">
        <v>157</v>
      </c>
      <c r="E750" s="273">
        <v>36</v>
      </c>
      <c r="F750" s="273">
        <v>0</v>
      </c>
      <c r="G750" s="274">
        <f>E750*F750</f>
        <v>0</v>
      </c>
      <c r="H750" s="275"/>
      <c r="I750" s="275"/>
      <c r="J750" s="275"/>
      <c r="K750" s="275"/>
      <c r="BB750" s="276">
        <v>2</v>
      </c>
      <c r="BC750" s="276">
        <f aca="true" t="shared" si="8" ref="BC750:BC755">IF(BB750=1,G750,0)</f>
        <v>0</v>
      </c>
      <c r="BD750" s="277">
        <f aca="true" t="shared" si="9" ref="BD750:BD755">IF(BB750=2,G750,0)</f>
        <v>0</v>
      </c>
      <c r="BE750" s="276">
        <f aca="true" t="shared" si="10" ref="BE750:BE755">IF(BB750=3,G750,0)</f>
        <v>0</v>
      </c>
      <c r="BF750" s="276">
        <f aca="true" t="shared" si="11" ref="BF750:BF755">IF(BB750=4,G750,0)</f>
        <v>0</v>
      </c>
      <c r="BG750" s="276">
        <f aca="true" t="shared" si="12" ref="BG750:BG755">IF(BB750=5,G750,0)</f>
        <v>0</v>
      </c>
      <c r="CA750" s="276">
        <v>1</v>
      </c>
      <c r="CB750" s="276">
        <v>7</v>
      </c>
    </row>
    <row r="751" spans="1:80" s="276" customFormat="1" ht="12">
      <c r="A751" s="269" t="s">
        <v>597</v>
      </c>
      <c r="B751" s="270" t="s">
        <v>598</v>
      </c>
      <c r="C751" s="271" t="s">
        <v>1453</v>
      </c>
      <c r="D751" s="272" t="s">
        <v>157</v>
      </c>
      <c r="E751" s="273">
        <v>48</v>
      </c>
      <c r="F751" s="273">
        <v>0</v>
      </c>
      <c r="G751" s="274">
        <f>E751*F751</f>
        <v>0</v>
      </c>
      <c r="H751" s="275"/>
      <c r="I751" s="275"/>
      <c r="J751" s="275"/>
      <c r="K751" s="275"/>
      <c r="BB751" s="276">
        <v>2</v>
      </c>
      <c r="BC751" s="276">
        <f t="shared" si="8"/>
        <v>0</v>
      </c>
      <c r="BD751" s="277">
        <f t="shared" si="9"/>
        <v>0</v>
      </c>
      <c r="BE751" s="276">
        <f t="shared" si="10"/>
        <v>0</v>
      </c>
      <c r="BF751" s="276">
        <f t="shared" si="11"/>
        <v>0</v>
      </c>
      <c r="BG751" s="276">
        <f t="shared" si="12"/>
        <v>0</v>
      </c>
      <c r="CA751" s="276">
        <v>1</v>
      </c>
      <c r="CB751" s="276">
        <v>7</v>
      </c>
    </row>
    <row r="752" spans="1:80" s="276" customFormat="1" ht="12">
      <c r="A752" s="269" t="s">
        <v>599</v>
      </c>
      <c r="B752" s="270" t="s">
        <v>600</v>
      </c>
      <c r="C752" s="271" t="s">
        <v>601</v>
      </c>
      <c r="D752" s="272" t="s">
        <v>83</v>
      </c>
      <c r="E752" s="273">
        <v>42</v>
      </c>
      <c r="F752" s="273">
        <v>0</v>
      </c>
      <c r="G752" s="274">
        <f>E752*F752</f>
        <v>0</v>
      </c>
      <c r="H752" s="275"/>
      <c r="I752" s="275"/>
      <c r="J752" s="275"/>
      <c r="K752" s="275"/>
      <c r="BB752" s="276">
        <v>2</v>
      </c>
      <c r="BC752" s="276">
        <f t="shared" si="8"/>
        <v>0</v>
      </c>
      <c r="BD752" s="277">
        <f t="shared" si="9"/>
        <v>0</v>
      </c>
      <c r="BE752" s="276">
        <f t="shared" si="10"/>
        <v>0</v>
      </c>
      <c r="BF752" s="276">
        <f t="shared" si="11"/>
        <v>0</v>
      </c>
      <c r="BG752" s="276">
        <f t="shared" si="12"/>
        <v>0</v>
      </c>
      <c r="CA752" s="276">
        <v>1</v>
      </c>
      <c r="CB752" s="276">
        <v>7</v>
      </c>
    </row>
    <row r="753" spans="1:80" s="276" customFormat="1" ht="12">
      <c r="A753" s="269" t="s">
        <v>602</v>
      </c>
      <c r="B753" s="270" t="s">
        <v>603</v>
      </c>
      <c r="C753" s="271" t="s">
        <v>1454</v>
      </c>
      <c r="D753" s="272" t="s">
        <v>83</v>
      </c>
      <c r="E753" s="273">
        <v>54</v>
      </c>
      <c r="F753" s="273">
        <v>0</v>
      </c>
      <c r="G753" s="274">
        <f>E753*F753</f>
        <v>0</v>
      </c>
      <c r="H753" s="275"/>
      <c r="I753" s="275"/>
      <c r="J753" s="275"/>
      <c r="K753" s="275"/>
      <c r="BB753" s="276">
        <v>2</v>
      </c>
      <c r="BC753" s="276">
        <f t="shared" si="8"/>
        <v>0</v>
      </c>
      <c r="BD753" s="277">
        <f t="shared" si="9"/>
        <v>0</v>
      </c>
      <c r="BE753" s="276">
        <f t="shared" si="10"/>
        <v>0</v>
      </c>
      <c r="BF753" s="276">
        <f t="shared" si="11"/>
        <v>0</v>
      </c>
      <c r="BG753" s="276">
        <f t="shared" si="12"/>
        <v>0</v>
      </c>
      <c r="CA753" s="276">
        <v>1</v>
      </c>
      <c r="CB753" s="276">
        <v>7</v>
      </c>
    </row>
    <row r="754" spans="1:80" s="276" customFormat="1" ht="12">
      <c r="A754" s="269" t="s">
        <v>605</v>
      </c>
      <c r="B754" s="270" t="s">
        <v>606</v>
      </c>
      <c r="C754" s="271" t="s">
        <v>607</v>
      </c>
      <c r="D754" s="272" t="s">
        <v>157</v>
      </c>
      <c r="E754" s="273">
        <v>84</v>
      </c>
      <c r="F754" s="273">
        <v>0</v>
      </c>
      <c r="G754" s="274">
        <f>E754*F754</f>
        <v>0</v>
      </c>
      <c r="H754" s="275"/>
      <c r="I754" s="275"/>
      <c r="J754" s="275"/>
      <c r="K754" s="275"/>
      <c r="BB754" s="276">
        <v>2</v>
      </c>
      <c r="BC754" s="276">
        <f t="shared" si="8"/>
        <v>0</v>
      </c>
      <c r="BD754" s="277">
        <f t="shared" si="9"/>
        <v>0</v>
      </c>
      <c r="BE754" s="276">
        <f t="shared" si="10"/>
        <v>0</v>
      </c>
      <c r="BF754" s="276">
        <f t="shared" si="11"/>
        <v>0</v>
      </c>
      <c r="BG754" s="276">
        <f t="shared" si="12"/>
        <v>0</v>
      </c>
      <c r="CA754" s="276">
        <v>1</v>
      </c>
      <c r="CB754" s="276">
        <v>7</v>
      </c>
    </row>
    <row r="755" spans="1:80" s="276" customFormat="1" ht="12">
      <c r="A755" s="269" t="s">
        <v>608</v>
      </c>
      <c r="B755" s="270" t="s">
        <v>609</v>
      </c>
      <c r="C755" s="287" t="s">
        <v>610</v>
      </c>
      <c r="D755" s="288" t="s">
        <v>555</v>
      </c>
      <c r="E755" s="289">
        <f>SUM(G750:G754)/100</f>
        <v>0</v>
      </c>
      <c r="F755" s="289">
        <v>5</v>
      </c>
      <c r="G755" s="290">
        <f>ROUND((E755*F755),0)</f>
        <v>0</v>
      </c>
      <c r="H755" s="275"/>
      <c r="I755" s="275"/>
      <c r="J755" s="275"/>
      <c r="K755" s="275"/>
      <c r="BB755" s="276">
        <v>2</v>
      </c>
      <c r="BC755" s="276">
        <f t="shared" si="8"/>
        <v>0</v>
      </c>
      <c r="BD755" s="277">
        <f t="shared" si="9"/>
        <v>0</v>
      </c>
      <c r="BE755" s="276">
        <f t="shared" si="10"/>
        <v>0</v>
      </c>
      <c r="BF755" s="276">
        <f t="shared" si="11"/>
        <v>0</v>
      </c>
      <c r="BG755" s="276">
        <f t="shared" si="12"/>
        <v>0</v>
      </c>
      <c r="CA755" s="276">
        <v>1</v>
      </c>
      <c r="CB755" s="276">
        <v>7</v>
      </c>
    </row>
    <row r="756" spans="1:9" s="108" customFormat="1" ht="12">
      <c r="A756" s="291" t="s">
        <v>611</v>
      </c>
      <c r="B756" s="262" t="s">
        <v>612</v>
      </c>
      <c r="C756" s="263" t="s">
        <v>613</v>
      </c>
      <c r="D756" s="292" t="s">
        <v>593</v>
      </c>
      <c r="E756" s="293">
        <v>10</v>
      </c>
      <c r="F756" s="293">
        <v>0</v>
      </c>
      <c r="G756" s="294">
        <f>E756*F756</f>
        <v>0</v>
      </c>
      <c r="H756" s="107"/>
      <c r="I756" s="107"/>
    </row>
    <row r="757" spans="1:9" s="108" customFormat="1" ht="12">
      <c r="A757" s="644"/>
      <c r="B757" s="661"/>
      <c r="C757" s="646" t="s">
        <v>160</v>
      </c>
      <c r="D757" s="281"/>
      <c r="E757" s="282"/>
      <c r="F757" s="282"/>
      <c r="G757" s="662">
        <f>SUM(G750:G756)</f>
        <v>0</v>
      </c>
      <c r="H757" s="107"/>
      <c r="I757" s="107"/>
    </row>
    <row r="758" spans="1:9" s="108" customFormat="1" ht="12">
      <c r="A758" s="402"/>
      <c r="B758" s="536" t="s">
        <v>614</v>
      </c>
      <c r="C758" s="537" t="s">
        <v>25</v>
      </c>
      <c r="D758" s="663"/>
      <c r="E758" s="546"/>
      <c r="F758" s="546"/>
      <c r="G758" s="547"/>
      <c r="H758" s="107"/>
      <c r="I758" s="107"/>
    </row>
    <row r="759" spans="1:80" s="276" customFormat="1" ht="12">
      <c r="A759" s="538" t="s">
        <v>615</v>
      </c>
      <c r="B759" s="539" t="s">
        <v>616</v>
      </c>
      <c r="C759" s="540" t="s">
        <v>617</v>
      </c>
      <c r="D759" s="660" t="s">
        <v>104</v>
      </c>
      <c r="E759" s="542">
        <v>8</v>
      </c>
      <c r="F759" s="542">
        <v>0</v>
      </c>
      <c r="G759" s="543">
        <f aca="true" t="shared" si="13" ref="G759:G774">E759*F759</f>
        <v>0</v>
      </c>
      <c r="H759" s="275"/>
      <c r="I759" s="275"/>
      <c r="J759" s="275"/>
      <c r="K759" s="275"/>
      <c r="BB759" s="276">
        <v>2</v>
      </c>
      <c r="BC759" s="276">
        <f>IF(BB759=1,G759,0)</f>
        <v>0</v>
      </c>
      <c r="BD759" s="277">
        <f>IF(BB759=2,G759,0)</f>
        <v>0</v>
      </c>
      <c r="BE759" s="276">
        <f>IF(BB759=3,G759,0)</f>
        <v>0</v>
      </c>
      <c r="BF759" s="276">
        <f>IF(BB759=4,G759,0)</f>
        <v>0</v>
      </c>
      <c r="BG759" s="276">
        <f>IF(BB759=5,G759,0)</f>
        <v>0</v>
      </c>
      <c r="CA759" s="276">
        <v>1</v>
      </c>
      <c r="CB759" s="276">
        <v>7</v>
      </c>
    </row>
    <row r="760" spans="1:80" s="276" customFormat="1" ht="12">
      <c r="A760" s="538" t="s">
        <v>618</v>
      </c>
      <c r="B760" s="539" t="s">
        <v>619</v>
      </c>
      <c r="C760" s="540" t="s">
        <v>620</v>
      </c>
      <c r="D760" s="660" t="s">
        <v>104</v>
      </c>
      <c r="E760" s="542">
        <v>3</v>
      </c>
      <c r="F760" s="542">
        <v>0</v>
      </c>
      <c r="G760" s="543">
        <f t="shared" si="13"/>
        <v>0</v>
      </c>
      <c r="H760" s="275"/>
      <c r="I760" s="275"/>
      <c r="J760" s="275"/>
      <c r="K760" s="275"/>
      <c r="BB760" s="276">
        <v>2</v>
      </c>
      <c r="BC760" s="276">
        <f>IF(BB760=1,G760,0)</f>
        <v>0</v>
      </c>
      <c r="BD760" s="277">
        <f>IF(BB760=2,G760,0)</f>
        <v>0</v>
      </c>
      <c r="BE760" s="276">
        <f>IF(BB760=3,G760,0)</f>
        <v>0</v>
      </c>
      <c r="BF760" s="276">
        <f>IF(BB760=4,G760,0)</f>
        <v>0</v>
      </c>
      <c r="BG760" s="276">
        <f>IF(BB760=5,G760,0)</f>
        <v>0</v>
      </c>
      <c r="CA760" s="276">
        <v>1</v>
      </c>
      <c r="CB760" s="276">
        <v>7</v>
      </c>
    </row>
    <row r="761" spans="1:80" s="276" customFormat="1" ht="12">
      <c r="A761" s="655" t="s">
        <v>621</v>
      </c>
      <c r="B761" s="656" t="s">
        <v>622</v>
      </c>
      <c r="C761" s="420" t="s">
        <v>623</v>
      </c>
      <c r="D761" s="657" t="s">
        <v>104</v>
      </c>
      <c r="E761" s="658">
        <v>8</v>
      </c>
      <c r="F761" s="658">
        <v>0</v>
      </c>
      <c r="G761" s="659">
        <f t="shared" si="13"/>
        <v>0</v>
      </c>
      <c r="H761" s="275"/>
      <c r="I761" s="275"/>
      <c r="J761" s="275"/>
      <c r="K761" s="275"/>
      <c r="AA761" s="108"/>
      <c r="AB761" s="108"/>
      <c r="AC761" s="108"/>
      <c r="BB761" s="108"/>
      <c r="BC761" s="108"/>
      <c r="BD761" s="108"/>
      <c r="BE761" s="108"/>
      <c r="BF761" s="108"/>
      <c r="BG761" s="108"/>
      <c r="CA761" s="108"/>
      <c r="CB761" s="108"/>
    </row>
    <row r="762" spans="1:80" s="276" customFormat="1" ht="12">
      <c r="A762" s="538" t="s">
        <v>624</v>
      </c>
      <c r="B762" s="539" t="s">
        <v>625</v>
      </c>
      <c r="C762" s="540" t="s">
        <v>626</v>
      </c>
      <c r="D762" s="660" t="s">
        <v>104</v>
      </c>
      <c r="E762" s="542">
        <v>3</v>
      </c>
      <c r="F762" s="542">
        <v>0</v>
      </c>
      <c r="G762" s="543">
        <f t="shared" si="13"/>
        <v>0</v>
      </c>
      <c r="H762" s="275"/>
      <c r="I762" s="275"/>
      <c r="J762" s="275"/>
      <c r="K762" s="275"/>
      <c r="AA762" s="108"/>
      <c r="AB762" s="108"/>
      <c r="AC762" s="108"/>
      <c r="BB762" s="108"/>
      <c r="BC762" s="108"/>
      <c r="BD762" s="108"/>
      <c r="BE762" s="108"/>
      <c r="BF762" s="108"/>
      <c r="BG762" s="108"/>
      <c r="CA762" s="108"/>
      <c r="CB762" s="108"/>
    </row>
    <row r="763" spans="1:80" s="276" customFormat="1" ht="12">
      <c r="A763" s="538" t="s">
        <v>627</v>
      </c>
      <c r="B763" s="539" t="s">
        <v>628</v>
      </c>
      <c r="C763" s="540" t="s">
        <v>629</v>
      </c>
      <c r="D763" s="660" t="s">
        <v>104</v>
      </c>
      <c r="E763" s="542">
        <v>3</v>
      </c>
      <c r="F763" s="542">
        <v>0</v>
      </c>
      <c r="G763" s="543">
        <f t="shared" si="13"/>
        <v>0</v>
      </c>
      <c r="H763" s="275"/>
      <c r="I763" s="275"/>
      <c r="J763" s="275"/>
      <c r="K763" s="275"/>
      <c r="AA763" s="108"/>
      <c r="AB763" s="108"/>
      <c r="AC763" s="108"/>
      <c r="BB763" s="108"/>
      <c r="BC763" s="108"/>
      <c r="BD763" s="108"/>
      <c r="BE763" s="108"/>
      <c r="BF763" s="108"/>
      <c r="BG763" s="108"/>
      <c r="CA763" s="108"/>
      <c r="CB763" s="108"/>
    </row>
    <row r="764" spans="1:80" s="276" customFormat="1" ht="12">
      <c r="A764" s="538" t="s">
        <v>630</v>
      </c>
      <c r="B764" s="539" t="s">
        <v>631</v>
      </c>
      <c r="C764" s="540" t="s">
        <v>632</v>
      </c>
      <c r="D764" s="660" t="s">
        <v>104</v>
      </c>
      <c r="E764" s="542">
        <v>2</v>
      </c>
      <c r="F764" s="542">
        <v>0</v>
      </c>
      <c r="G764" s="543">
        <f t="shared" si="13"/>
        <v>0</v>
      </c>
      <c r="H764" s="275"/>
      <c r="I764" s="275"/>
      <c r="J764" s="275"/>
      <c r="K764" s="275"/>
      <c r="AA764" s="108"/>
      <c r="AB764" s="108"/>
      <c r="AC764" s="108"/>
      <c r="BB764" s="108"/>
      <c r="BC764" s="108"/>
      <c r="BD764" s="108"/>
      <c r="BE764" s="108"/>
      <c r="BF764" s="108"/>
      <c r="BG764" s="108"/>
      <c r="CA764" s="108"/>
      <c r="CB764" s="108"/>
    </row>
    <row r="765" spans="1:80" s="276" customFormat="1" ht="12">
      <c r="A765" s="655" t="s">
        <v>633</v>
      </c>
      <c r="B765" s="656" t="s">
        <v>634</v>
      </c>
      <c r="C765" s="420" t="s">
        <v>635</v>
      </c>
      <c r="D765" s="657" t="s">
        <v>104</v>
      </c>
      <c r="E765" s="658">
        <v>2</v>
      </c>
      <c r="F765" s="658">
        <v>0</v>
      </c>
      <c r="G765" s="659">
        <f t="shared" si="13"/>
        <v>0</v>
      </c>
      <c r="H765" s="275"/>
      <c r="I765" s="275"/>
      <c r="J765" s="275"/>
      <c r="K765" s="275"/>
      <c r="AA765" s="108"/>
      <c r="AB765" s="108"/>
      <c r="AC765" s="108"/>
      <c r="BB765" s="108"/>
      <c r="BC765" s="108"/>
      <c r="BD765" s="108"/>
      <c r="BE765" s="108"/>
      <c r="BF765" s="108"/>
      <c r="BG765" s="108"/>
      <c r="CA765" s="108"/>
      <c r="CB765" s="108"/>
    </row>
    <row r="766" spans="1:80" s="276" customFormat="1" ht="12">
      <c r="A766" s="269" t="s">
        <v>636</v>
      </c>
      <c r="B766" s="270" t="s">
        <v>637</v>
      </c>
      <c r="C766" s="271" t="s">
        <v>638</v>
      </c>
      <c r="D766" s="272" t="s">
        <v>104</v>
      </c>
      <c r="E766" s="273">
        <v>11</v>
      </c>
      <c r="F766" s="273">
        <v>0</v>
      </c>
      <c r="G766" s="274">
        <f t="shared" si="13"/>
        <v>0</v>
      </c>
      <c r="H766" s="275"/>
      <c r="I766" s="275"/>
      <c r="J766" s="275"/>
      <c r="K766" s="275"/>
      <c r="BB766" s="276">
        <v>2</v>
      </c>
      <c r="BC766" s="276">
        <f aca="true" t="shared" si="14" ref="BC766:BC774">IF(BB766=1,G766,0)</f>
        <v>0</v>
      </c>
      <c r="BD766" s="277">
        <f aca="true" t="shared" si="15" ref="BD766:BD774">IF(BB766=2,G766,0)</f>
        <v>0</v>
      </c>
      <c r="BE766" s="276">
        <f aca="true" t="shared" si="16" ref="BE766:BE774">IF(BB766=3,G766,0)</f>
        <v>0</v>
      </c>
      <c r="BF766" s="276">
        <f aca="true" t="shared" si="17" ref="BF766:BF774">IF(BB766=4,G766,0)</f>
        <v>0</v>
      </c>
      <c r="BG766" s="276">
        <f aca="true" t="shared" si="18" ref="BG766:BG774">IF(BB766=5,G766,0)</f>
        <v>0</v>
      </c>
      <c r="CA766" s="276">
        <v>1</v>
      </c>
      <c r="CB766" s="276">
        <v>7</v>
      </c>
    </row>
    <row r="767" spans="1:80" s="276" customFormat="1" ht="12">
      <c r="A767" s="269" t="s">
        <v>639</v>
      </c>
      <c r="B767" s="270" t="s">
        <v>640</v>
      </c>
      <c r="C767" s="271" t="s">
        <v>641</v>
      </c>
      <c r="D767" s="272" t="s">
        <v>83</v>
      </c>
      <c r="E767" s="273">
        <v>11</v>
      </c>
      <c r="F767" s="273">
        <v>0</v>
      </c>
      <c r="G767" s="274">
        <f t="shared" si="13"/>
        <v>0</v>
      </c>
      <c r="H767" s="275"/>
      <c r="I767" s="275"/>
      <c r="J767" s="275"/>
      <c r="K767" s="275"/>
      <c r="BB767" s="276">
        <v>2</v>
      </c>
      <c r="BC767" s="276">
        <f t="shared" si="14"/>
        <v>0</v>
      </c>
      <c r="BD767" s="277">
        <f t="shared" si="15"/>
        <v>0</v>
      </c>
      <c r="BE767" s="276">
        <f t="shared" si="16"/>
        <v>0</v>
      </c>
      <c r="BF767" s="276">
        <f t="shared" si="17"/>
        <v>0</v>
      </c>
      <c r="BG767" s="276">
        <f t="shared" si="18"/>
        <v>0</v>
      </c>
      <c r="CA767" s="276">
        <v>1</v>
      </c>
      <c r="CB767" s="276">
        <v>7</v>
      </c>
    </row>
    <row r="768" spans="1:80" s="276" customFormat="1" ht="12">
      <c r="A768" s="269" t="s">
        <v>642</v>
      </c>
      <c r="B768" s="270" t="s">
        <v>643</v>
      </c>
      <c r="C768" s="271" t="s">
        <v>644</v>
      </c>
      <c r="D768" s="272" t="s">
        <v>83</v>
      </c>
      <c r="E768" s="295">
        <v>42</v>
      </c>
      <c r="F768" s="273">
        <v>0</v>
      </c>
      <c r="G768" s="274">
        <f t="shared" si="13"/>
        <v>0</v>
      </c>
      <c r="H768" s="275"/>
      <c r="I768" s="275"/>
      <c r="J768" s="275"/>
      <c r="K768" s="275"/>
      <c r="BB768" s="276">
        <v>2</v>
      </c>
      <c r="BC768" s="276">
        <f t="shared" si="14"/>
        <v>0</v>
      </c>
      <c r="BD768" s="277">
        <f t="shared" si="15"/>
        <v>0</v>
      </c>
      <c r="BE768" s="276">
        <f t="shared" si="16"/>
        <v>0</v>
      </c>
      <c r="BF768" s="276">
        <f t="shared" si="17"/>
        <v>0</v>
      </c>
      <c r="BG768" s="276">
        <f t="shared" si="18"/>
        <v>0</v>
      </c>
      <c r="CA768" s="276">
        <v>1</v>
      </c>
      <c r="CB768" s="276">
        <v>7</v>
      </c>
    </row>
    <row r="769" spans="1:80" s="276" customFormat="1" ht="12">
      <c r="A769" s="269" t="s">
        <v>645</v>
      </c>
      <c r="B769" s="270" t="s">
        <v>646</v>
      </c>
      <c r="C769" s="271" t="s">
        <v>647</v>
      </c>
      <c r="D769" s="272" t="s">
        <v>83</v>
      </c>
      <c r="E769" s="273">
        <v>11</v>
      </c>
      <c r="F769" s="273">
        <v>0</v>
      </c>
      <c r="G769" s="274">
        <f t="shared" si="13"/>
        <v>0</v>
      </c>
      <c r="H769" s="275"/>
      <c r="I769" s="275"/>
      <c r="J769" s="275"/>
      <c r="K769" s="275"/>
      <c r="BB769" s="276">
        <v>2</v>
      </c>
      <c r="BC769" s="276">
        <f t="shared" si="14"/>
        <v>0</v>
      </c>
      <c r="BD769" s="277">
        <f t="shared" si="15"/>
        <v>0</v>
      </c>
      <c r="BE769" s="276">
        <f t="shared" si="16"/>
        <v>0</v>
      </c>
      <c r="BF769" s="276">
        <f t="shared" si="17"/>
        <v>0</v>
      </c>
      <c r="BG769" s="276">
        <f t="shared" si="18"/>
        <v>0</v>
      </c>
      <c r="CA769" s="276">
        <v>1</v>
      </c>
      <c r="CB769" s="276">
        <v>7</v>
      </c>
    </row>
    <row r="770" spans="1:80" s="276" customFormat="1" ht="12">
      <c r="A770" s="269" t="s">
        <v>648</v>
      </c>
      <c r="B770" s="270" t="s">
        <v>649</v>
      </c>
      <c r="C770" s="271" t="s">
        <v>650</v>
      </c>
      <c r="D770" s="272" t="s">
        <v>83</v>
      </c>
      <c r="E770" s="273">
        <v>2</v>
      </c>
      <c r="F770" s="273">
        <v>0</v>
      </c>
      <c r="G770" s="274">
        <f t="shared" si="13"/>
        <v>0</v>
      </c>
      <c r="H770" s="275"/>
      <c r="I770" s="275"/>
      <c r="J770" s="275"/>
      <c r="K770" s="275"/>
      <c r="BB770" s="276">
        <v>2</v>
      </c>
      <c r="BC770" s="276">
        <f t="shared" si="14"/>
        <v>0</v>
      </c>
      <c r="BD770" s="277">
        <f t="shared" si="15"/>
        <v>0</v>
      </c>
      <c r="BE770" s="276">
        <f t="shared" si="16"/>
        <v>0</v>
      </c>
      <c r="BF770" s="276">
        <f t="shared" si="17"/>
        <v>0</v>
      </c>
      <c r="BG770" s="276">
        <f t="shared" si="18"/>
        <v>0</v>
      </c>
      <c r="CA770" s="276">
        <v>1</v>
      </c>
      <c r="CB770" s="276">
        <v>7</v>
      </c>
    </row>
    <row r="771" spans="1:80" s="276" customFormat="1" ht="12">
      <c r="A771" s="269" t="s">
        <v>651</v>
      </c>
      <c r="B771" s="270" t="s">
        <v>652</v>
      </c>
      <c r="C771" s="271" t="s">
        <v>653</v>
      </c>
      <c r="D771" s="272" t="s">
        <v>83</v>
      </c>
      <c r="E771" s="273">
        <v>1</v>
      </c>
      <c r="F771" s="273">
        <v>0</v>
      </c>
      <c r="G771" s="274">
        <f t="shared" si="13"/>
        <v>0</v>
      </c>
      <c r="H771" s="275"/>
      <c r="I771" s="275"/>
      <c r="J771" s="275"/>
      <c r="K771" s="275"/>
      <c r="BB771" s="276">
        <v>2</v>
      </c>
      <c r="BC771" s="276">
        <f t="shared" si="14"/>
        <v>0</v>
      </c>
      <c r="BD771" s="277">
        <f t="shared" si="15"/>
        <v>0</v>
      </c>
      <c r="BE771" s="276">
        <f t="shared" si="16"/>
        <v>0</v>
      </c>
      <c r="BF771" s="276">
        <f t="shared" si="17"/>
        <v>0</v>
      </c>
      <c r="BG771" s="276">
        <f t="shared" si="18"/>
        <v>0</v>
      </c>
      <c r="CA771" s="276">
        <v>1</v>
      </c>
      <c r="CB771" s="276">
        <v>7</v>
      </c>
    </row>
    <row r="772" spans="1:80" s="276" customFormat="1" ht="12">
      <c r="A772" s="269" t="s">
        <v>654</v>
      </c>
      <c r="B772" s="270" t="s">
        <v>655</v>
      </c>
      <c r="C772" s="271" t="s">
        <v>656</v>
      </c>
      <c r="D772" s="272" t="s">
        <v>83</v>
      </c>
      <c r="E772" s="273">
        <v>14</v>
      </c>
      <c r="F772" s="273">
        <v>0</v>
      </c>
      <c r="G772" s="274">
        <f t="shared" si="13"/>
        <v>0</v>
      </c>
      <c r="H772" s="275"/>
      <c r="I772" s="275"/>
      <c r="J772" s="275"/>
      <c r="K772" s="275"/>
      <c r="BB772" s="276">
        <v>2</v>
      </c>
      <c r="BC772" s="276">
        <f t="shared" si="14"/>
        <v>0</v>
      </c>
      <c r="BD772" s="277">
        <f t="shared" si="15"/>
        <v>0</v>
      </c>
      <c r="BE772" s="276">
        <f t="shared" si="16"/>
        <v>0</v>
      </c>
      <c r="BF772" s="276">
        <f t="shared" si="17"/>
        <v>0</v>
      </c>
      <c r="BG772" s="276">
        <f t="shared" si="18"/>
        <v>0</v>
      </c>
      <c r="CA772" s="276">
        <v>1</v>
      </c>
      <c r="CB772" s="276">
        <v>7</v>
      </c>
    </row>
    <row r="773" spans="1:80" s="276" customFormat="1" ht="12">
      <c r="A773" s="269" t="s">
        <v>657</v>
      </c>
      <c r="B773" s="270" t="s">
        <v>658</v>
      </c>
      <c r="C773" s="271" t="s">
        <v>659</v>
      </c>
      <c r="D773" s="272" t="s">
        <v>83</v>
      </c>
      <c r="E773" s="273">
        <v>1</v>
      </c>
      <c r="F773" s="273">
        <v>0</v>
      </c>
      <c r="G773" s="274">
        <f t="shared" si="13"/>
        <v>0</v>
      </c>
      <c r="H773" s="275"/>
      <c r="I773" s="275"/>
      <c r="J773" s="275"/>
      <c r="K773" s="275"/>
      <c r="BB773" s="276">
        <v>2</v>
      </c>
      <c r="BC773" s="276">
        <f t="shared" si="14"/>
        <v>0</v>
      </c>
      <c r="BD773" s="277">
        <f t="shared" si="15"/>
        <v>0</v>
      </c>
      <c r="BE773" s="276">
        <f t="shared" si="16"/>
        <v>0</v>
      </c>
      <c r="BF773" s="276">
        <f t="shared" si="17"/>
        <v>0</v>
      </c>
      <c r="BG773" s="276">
        <f t="shared" si="18"/>
        <v>0</v>
      </c>
      <c r="CA773" s="276">
        <v>1</v>
      </c>
      <c r="CB773" s="276">
        <v>7</v>
      </c>
    </row>
    <row r="774" spans="1:80" s="276" customFormat="1" ht="12">
      <c r="A774" s="269" t="s">
        <v>660</v>
      </c>
      <c r="B774" s="296" t="s">
        <v>661</v>
      </c>
      <c r="C774" s="297" t="s">
        <v>662</v>
      </c>
      <c r="D774" s="298" t="s">
        <v>555</v>
      </c>
      <c r="E774" s="299">
        <f>SUM(G759:G773)/100</f>
        <v>0</v>
      </c>
      <c r="F774" s="299">
        <v>3</v>
      </c>
      <c r="G774" s="300">
        <f t="shared" si="13"/>
        <v>0</v>
      </c>
      <c r="H774" s="275"/>
      <c r="I774" s="275"/>
      <c r="J774" s="275"/>
      <c r="K774" s="275"/>
      <c r="BB774" s="276">
        <v>2</v>
      </c>
      <c r="BC774" s="276">
        <f t="shared" si="14"/>
        <v>0</v>
      </c>
      <c r="BD774" s="277">
        <f t="shared" si="15"/>
        <v>0</v>
      </c>
      <c r="BE774" s="276">
        <f t="shared" si="16"/>
        <v>0</v>
      </c>
      <c r="BF774" s="276">
        <f t="shared" si="17"/>
        <v>0</v>
      </c>
      <c r="BG774" s="276">
        <f t="shared" si="18"/>
        <v>0</v>
      </c>
      <c r="CA774" s="276">
        <v>1</v>
      </c>
      <c r="CB774" s="276">
        <v>5</v>
      </c>
    </row>
    <row r="775" spans="1:9" s="108" customFormat="1" ht="12">
      <c r="A775" s="124"/>
      <c r="B775" s="280"/>
      <c r="C775" s="126" t="s">
        <v>160</v>
      </c>
      <c r="D775" s="281"/>
      <c r="E775" s="282"/>
      <c r="F775" s="282"/>
      <c r="G775" s="283">
        <f>SUM(G759:G774)</f>
        <v>0</v>
      </c>
      <c r="H775" s="107"/>
      <c r="I775" s="107"/>
    </row>
    <row r="776" spans="1:9" s="108" customFormat="1" ht="12">
      <c r="A776" s="101"/>
      <c r="B776" s="267" t="s">
        <v>663</v>
      </c>
      <c r="C776" s="268" t="s">
        <v>26</v>
      </c>
      <c r="D776" s="284"/>
      <c r="E776" s="285"/>
      <c r="F776" s="285"/>
      <c r="G776" s="286"/>
      <c r="H776" s="107"/>
      <c r="I776" s="107"/>
    </row>
    <row r="777" spans="1:80" s="276" customFormat="1" ht="12">
      <c r="A777" s="269" t="s">
        <v>664</v>
      </c>
      <c r="B777" s="270" t="s">
        <v>665</v>
      </c>
      <c r="C777" s="271" t="s">
        <v>1455</v>
      </c>
      <c r="D777" s="272" t="s">
        <v>157</v>
      </c>
      <c r="E777" s="273">
        <v>18.2</v>
      </c>
      <c r="F777" s="273">
        <v>0</v>
      </c>
      <c r="G777" s="274">
        <f>E777*F777</f>
        <v>0</v>
      </c>
      <c r="H777" s="275"/>
      <c r="I777" s="275"/>
      <c r="J777" s="275"/>
      <c r="K777" s="275"/>
      <c r="AA777" s="108"/>
      <c r="AB777" s="108"/>
      <c r="AC777" s="108"/>
      <c r="BB777" s="108"/>
      <c r="BC777" s="108"/>
      <c r="BD777" s="108"/>
      <c r="BE777" s="108"/>
      <c r="BF777" s="108"/>
      <c r="BG777" s="108"/>
      <c r="CA777" s="108"/>
      <c r="CB777" s="108"/>
    </row>
    <row r="778" spans="1:80" s="276" customFormat="1" ht="12">
      <c r="A778" s="269" t="s">
        <v>666</v>
      </c>
      <c r="B778" s="270" t="s">
        <v>667</v>
      </c>
      <c r="C778" s="271" t="s">
        <v>668</v>
      </c>
      <c r="D778" s="272" t="s">
        <v>157</v>
      </c>
      <c r="E778" s="273">
        <v>18.2</v>
      </c>
      <c r="F778" s="273">
        <v>0</v>
      </c>
      <c r="G778" s="274">
        <f>E778*F778</f>
        <v>0</v>
      </c>
      <c r="H778" s="275"/>
      <c r="I778" s="275"/>
      <c r="J778" s="275"/>
      <c r="K778" s="275"/>
      <c r="BB778" s="276">
        <v>2</v>
      </c>
      <c r="BC778" s="276">
        <f>IF(BB778=1,G778,0)</f>
        <v>0</v>
      </c>
      <c r="BD778" s="277">
        <f>IF(BB778=2,G778,0)</f>
        <v>0</v>
      </c>
      <c r="BE778" s="276">
        <f>IF(BB778=3,G778,0)</f>
        <v>0</v>
      </c>
      <c r="BF778" s="276">
        <f>IF(BB778=4,G778,0)</f>
        <v>0</v>
      </c>
      <c r="BG778" s="276">
        <f>IF(BB778=5,G778,0)</f>
        <v>0</v>
      </c>
      <c r="CA778" s="276">
        <v>1</v>
      </c>
      <c r="CB778" s="276">
        <v>7</v>
      </c>
    </row>
    <row r="779" spans="1:9" s="108" customFormat="1" ht="12">
      <c r="A779" s="269" t="s">
        <v>669</v>
      </c>
      <c r="B779" s="256" t="s">
        <v>670</v>
      </c>
      <c r="C779" s="257" t="s">
        <v>671</v>
      </c>
      <c r="D779" s="258" t="s">
        <v>593</v>
      </c>
      <c r="E779" s="259">
        <v>32</v>
      </c>
      <c r="F779" s="259">
        <v>0</v>
      </c>
      <c r="G779" s="274">
        <f>E779*F779</f>
        <v>0</v>
      </c>
      <c r="H779" s="107"/>
      <c r="I779" s="107"/>
    </row>
    <row r="780" spans="1:9" s="108" customFormat="1" ht="13.5" customHeight="1">
      <c r="A780" s="269" t="s">
        <v>672</v>
      </c>
      <c r="B780" s="301" t="s">
        <v>673</v>
      </c>
      <c r="C780" s="192" t="s">
        <v>674</v>
      </c>
      <c r="D780" s="278" t="s">
        <v>593</v>
      </c>
      <c r="E780" s="279">
        <v>18</v>
      </c>
      <c r="F780" s="279">
        <v>0</v>
      </c>
      <c r="G780" s="302">
        <f>E780*F780</f>
        <v>0</v>
      </c>
      <c r="H780" s="107"/>
      <c r="I780" s="107"/>
    </row>
    <row r="781" spans="1:9" s="108" customFormat="1" ht="12">
      <c r="A781" s="269" t="s">
        <v>675</v>
      </c>
      <c r="B781" s="262" t="s">
        <v>676</v>
      </c>
      <c r="C781" s="263" t="s">
        <v>677</v>
      </c>
      <c r="D781" s="264" t="s">
        <v>555</v>
      </c>
      <c r="E781" s="265">
        <f>SUM(G777:G780)/100</f>
        <v>0</v>
      </c>
      <c r="F781" s="265">
        <v>8</v>
      </c>
      <c r="G781" s="300">
        <f>E781*F781</f>
        <v>0</v>
      </c>
      <c r="H781" s="107"/>
      <c r="I781" s="107"/>
    </row>
    <row r="782" spans="1:9" s="159" customFormat="1" ht="12">
      <c r="A782" s="124"/>
      <c r="B782" s="303"/>
      <c r="C782" s="304" t="s">
        <v>160</v>
      </c>
      <c r="D782" s="305"/>
      <c r="E782" s="306"/>
      <c r="F782" s="307"/>
      <c r="G782" s="308">
        <f>SUM(G777:G781)</f>
        <v>0</v>
      </c>
      <c r="H782" s="158"/>
      <c r="I782" s="158"/>
    </row>
    <row r="783" spans="1:9" s="159" customFormat="1" ht="12">
      <c r="A783" s="152"/>
      <c r="B783" s="309" t="s">
        <v>678</v>
      </c>
      <c r="C783" s="310" t="s">
        <v>27</v>
      </c>
      <c r="D783" s="311"/>
      <c r="E783" s="312"/>
      <c r="F783" s="312"/>
      <c r="G783" s="313"/>
      <c r="H783" s="158"/>
      <c r="I783" s="158"/>
    </row>
    <row r="784" spans="1:80" s="321" customFormat="1" ht="12">
      <c r="A784" s="314" t="s">
        <v>679</v>
      </c>
      <c r="B784" s="315" t="s">
        <v>680</v>
      </c>
      <c r="C784" s="316" t="s">
        <v>681</v>
      </c>
      <c r="D784" s="317" t="s">
        <v>83</v>
      </c>
      <c r="E784" s="318">
        <v>70</v>
      </c>
      <c r="F784" s="318">
        <v>0</v>
      </c>
      <c r="G784" s="319">
        <f aca="true" t="shared" si="19" ref="G784:G789">E784*F784</f>
        <v>0</v>
      </c>
      <c r="H784" s="320"/>
      <c r="I784" s="320"/>
      <c r="J784" s="320"/>
      <c r="K784" s="320"/>
      <c r="BB784" s="321">
        <v>2</v>
      </c>
      <c r="BC784" s="321">
        <f>IF(BB784=1,G785,0)</f>
        <v>0</v>
      </c>
      <c r="BD784" s="322">
        <f>IF(BB784=2,G785,0)</f>
        <v>0</v>
      </c>
      <c r="BE784" s="321">
        <f>IF(BB784=3,G785,0)</f>
        <v>0</v>
      </c>
      <c r="BF784" s="321">
        <f>IF(BB784=4,G785,0)</f>
        <v>0</v>
      </c>
      <c r="BG784" s="321">
        <f>IF(BB784=5,G785,0)</f>
        <v>0</v>
      </c>
      <c r="CA784" s="321">
        <v>1</v>
      </c>
      <c r="CB784" s="321">
        <v>7</v>
      </c>
    </row>
    <row r="785" spans="1:80" s="321" customFormat="1" ht="12">
      <c r="A785" s="314" t="s">
        <v>682</v>
      </c>
      <c r="B785" s="323" t="s">
        <v>683</v>
      </c>
      <c r="C785" s="324" t="s">
        <v>684</v>
      </c>
      <c r="D785" s="325" t="s">
        <v>83</v>
      </c>
      <c r="E785" s="326">
        <v>70</v>
      </c>
      <c r="F785" s="326">
        <v>0</v>
      </c>
      <c r="G785" s="327">
        <f t="shared" si="19"/>
        <v>0</v>
      </c>
      <c r="H785" s="320"/>
      <c r="I785" s="320"/>
      <c r="J785" s="320"/>
      <c r="K785" s="320"/>
      <c r="BB785" s="321">
        <v>2</v>
      </c>
      <c r="BC785" s="321">
        <f>IF(BB785=1,G786,0)</f>
        <v>0</v>
      </c>
      <c r="BD785" s="322">
        <f>IF(BB785=2,G786,0)</f>
        <v>0</v>
      </c>
      <c r="BE785" s="321">
        <f>IF(BB785=3,G786,0)</f>
        <v>0</v>
      </c>
      <c r="BF785" s="321">
        <f>IF(BB785=4,G786,0)</f>
        <v>0</v>
      </c>
      <c r="BG785" s="321">
        <f>IF(BB785=5,G786,0)</f>
        <v>0</v>
      </c>
      <c r="CA785" s="321">
        <v>1</v>
      </c>
      <c r="CB785" s="321">
        <v>7</v>
      </c>
    </row>
    <row r="786" spans="1:80" s="321" customFormat="1" ht="12">
      <c r="A786" s="314" t="s">
        <v>685</v>
      </c>
      <c r="B786" s="328" t="s">
        <v>686</v>
      </c>
      <c r="C786" s="324" t="s">
        <v>1456</v>
      </c>
      <c r="D786" s="329" t="s">
        <v>83</v>
      </c>
      <c r="E786" s="295">
        <v>70</v>
      </c>
      <c r="F786" s="295">
        <v>0</v>
      </c>
      <c r="G786" s="327">
        <f t="shared" si="19"/>
        <v>0</v>
      </c>
      <c r="H786" s="320"/>
      <c r="I786" s="320"/>
      <c r="J786" s="320"/>
      <c r="K786" s="320"/>
      <c r="BB786" s="321">
        <v>2</v>
      </c>
      <c r="BC786" s="321">
        <f>IF(BB786=1,G787,0)</f>
        <v>0</v>
      </c>
      <c r="BD786" s="322">
        <f>IF(BB786=2,G787,0)</f>
        <v>0</v>
      </c>
      <c r="BE786" s="321">
        <f>IF(BB786=3,G787,0)</f>
        <v>0</v>
      </c>
      <c r="BF786" s="321">
        <f>IF(BB786=4,G787,0)</f>
        <v>0</v>
      </c>
      <c r="BG786" s="321">
        <f>IF(BB786=5,G787,0)</f>
        <v>0</v>
      </c>
      <c r="CA786" s="321">
        <v>1</v>
      </c>
      <c r="CB786" s="321">
        <v>7</v>
      </c>
    </row>
    <row r="787" spans="1:80" s="321" customFormat="1" ht="12">
      <c r="A787" s="314" t="s">
        <v>688</v>
      </c>
      <c r="B787" s="328" t="s">
        <v>689</v>
      </c>
      <c r="C787" s="324" t="s">
        <v>1457</v>
      </c>
      <c r="D787" s="329" t="s">
        <v>83</v>
      </c>
      <c r="E787" s="295">
        <v>70</v>
      </c>
      <c r="F787" s="295">
        <v>0</v>
      </c>
      <c r="G787" s="327">
        <f t="shared" si="19"/>
        <v>0</v>
      </c>
      <c r="H787" s="320"/>
      <c r="I787" s="320"/>
      <c r="J787" s="320"/>
      <c r="K787" s="320"/>
      <c r="BB787" s="321">
        <v>2</v>
      </c>
      <c r="BC787" s="321">
        <f>IF(BB787=1,G788,0)</f>
        <v>0</v>
      </c>
      <c r="BD787" s="322">
        <f>IF(BB787=2,G788,0)</f>
        <v>0</v>
      </c>
      <c r="BE787" s="321">
        <f>IF(BB787=3,G788,0)</f>
        <v>0</v>
      </c>
      <c r="BF787" s="321">
        <f>IF(BB787=4,G788,0)</f>
        <v>0</v>
      </c>
      <c r="BG787" s="321">
        <f>IF(BB787=5,G788,0)</f>
        <v>0</v>
      </c>
      <c r="CA787" s="321">
        <v>1</v>
      </c>
      <c r="CB787" s="321">
        <v>7</v>
      </c>
    </row>
    <row r="788" spans="1:9" s="159" customFormat="1" ht="12">
      <c r="A788" s="314" t="s">
        <v>691</v>
      </c>
      <c r="B788" s="328" t="s">
        <v>689</v>
      </c>
      <c r="C788" s="324" t="s">
        <v>692</v>
      </c>
      <c r="D788" s="329" t="s">
        <v>83</v>
      </c>
      <c r="E788" s="295">
        <v>4</v>
      </c>
      <c r="F788" s="295">
        <v>0</v>
      </c>
      <c r="G788" s="327">
        <f t="shared" si="19"/>
        <v>0</v>
      </c>
      <c r="H788" s="158"/>
      <c r="I788" s="158"/>
    </row>
    <row r="789" spans="1:9" s="159" customFormat="1" ht="12">
      <c r="A789" s="314" t="s">
        <v>693</v>
      </c>
      <c r="B789" s="330" t="s">
        <v>694</v>
      </c>
      <c r="C789" s="331" t="s">
        <v>695</v>
      </c>
      <c r="D789" s="332" t="s">
        <v>555</v>
      </c>
      <c r="E789" s="333">
        <f>SUM(G784:G788)/100</f>
        <v>0</v>
      </c>
      <c r="F789" s="333">
        <v>5</v>
      </c>
      <c r="G789" s="334">
        <f t="shared" si="19"/>
        <v>0</v>
      </c>
      <c r="H789" s="158"/>
      <c r="I789" s="158"/>
    </row>
    <row r="790" spans="1:9" s="108" customFormat="1" ht="12">
      <c r="A790" s="644"/>
      <c r="B790" s="664"/>
      <c r="C790" s="665" t="s">
        <v>160</v>
      </c>
      <c r="D790" s="666"/>
      <c r="E790" s="667"/>
      <c r="F790" s="668"/>
      <c r="G790" s="669">
        <f>SUM(G784:G789)</f>
        <v>0</v>
      </c>
      <c r="H790" s="107"/>
      <c r="I790" s="107"/>
    </row>
    <row r="791" spans="1:80" s="276" customFormat="1" ht="12">
      <c r="A791" s="402"/>
      <c r="B791" s="536" t="s">
        <v>696</v>
      </c>
      <c r="C791" s="537" t="s">
        <v>28</v>
      </c>
      <c r="D791" s="663"/>
      <c r="E791" s="546"/>
      <c r="F791" s="546"/>
      <c r="G791" s="547"/>
      <c r="H791" s="275"/>
      <c r="I791" s="275"/>
      <c r="J791" s="275"/>
      <c r="K791" s="275"/>
      <c r="BB791" s="276">
        <v>2</v>
      </c>
      <c r="BC791" s="276">
        <f>IF(BB791=1,G793,0)</f>
        <v>0</v>
      </c>
      <c r="BD791" s="277">
        <f>IF(BB791=2,G793,0)</f>
        <v>0</v>
      </c>
      <c r="BE791" s="276">
        <f>IF(BB791=3,G793,0)</f>
        <v>0</v>
      </c>
      <c r="BF791" s="276">
        <f>IF(BB791=4,G793,0)</f>
        <v>0</v>
      </c>
      <c r="BG791" s="276">
        <f>IF(BB791=5,G793,0)</f>
        <v>0</v>
      </c>
      <c r="CA791" s="276">
        <v>1</v>
      </c>
      <c r="CB791" s="276">
        <v>7</v>
      </c>
    </row>
    <row r="792" spans="1:80" s="321" customFormat="1" ht="12">
      <c r="A792" s="514" t="s">
        <v>697</v>
      </c>
      <c r="B792" s="673" t="s">
        <v>698</v>
      </c>
      <c r="C792" s="674" t="s">
        <v>699</v>
      </c>
      <c r="D792" s="675" t="s">
        <v>93</v>
      </c>
      <c r="E792" s="676">
        <v>1.2</v>
      </c>
      <c r="F792" s="676">
        <v>0</v>
      </c>
      <c r="G792" s="677">
        <f>E792*F792</f>
        <v>0</v>
      </c>
      <c r="H792" s="320"/>
      <c r="I792" s="320"/>
      <c r="J792" s="320"/>
      <c r="K792" s="320"/>
      <c r="BB792" s="321">
        <v>2</v>
      </c>
      <c r="BC792" s="321">
        <f>IF(BB792=1,G786,0)</f>
        <v>0</v>
      </c>
      <c r="BD792" s="322">
        <f>IF(BB792=2,G786,0)</f>
        <v>0</v>
      </c>
      <c r="BE792" s="321">
        <f>IF(BB792=3,G786,0)</f>
        <v>0</v>
      </c>
      <c r="BF792" s="321">
        <f>IF(BB792=4,G786,0)</f>
        <v>0</v>
      </c>
      <c r="BG792" s="321">
        <f>IF(BB792=5,G786,0)</f>
        <v>0</v>
      </c>
      <c r="CA792" s="321">
        <v>1</v>
      </c>
      <c r="CB792" s="321">
        <v>7</v>
      </c>
    </row>
    <row r="793" spans="1:80" s="276" customFormat="1" ht="12">
      <c r="A793" s="514" t="s">
        <v>700</v>
      </c>
      <c r="B793" s="539" t="s">
        <v>701</v>
      </c>
      <c r="C793" s="540" t="s">
        <v>702</v>
      </c>
      <c r="D793" s="660" t="s">
        <v>83</v>
      </c>
      <c r="E793" s="542">
        <v>2</v>
      </c>
      <c r="F793" s="542">
        <v>0</v>
      </c>
      <c r="G793" s="543">
        <f>E793*F793</f>
        <v>0</v>
      </c>
      <c r="H793" s="275"/>
      <c r="I793" s="275"/>
      <c r="J793" s="275"/>
      <c r="K793" s="275"/>
      <c r="AA793" s="108"/>
      <c r="AB793" s="108"/>
      <c r="AC793" s="108"/>
      <c r="BB793" s="108"/>
      <c r="BC793" s="108"/>
      <c r="BD793" s="108"/>
      <c r="BE793" s="108"/>
      <c r="BF793" s="108"/>
      <c r="BG793" s="108"/>
      <c r="CA793" s="108"/>
      <c r="CB793" s="108"/>
    </row>
    <row r="794" spans="1:9" s="108" customFormat="1" ht="12">
      <c r="A794" s="514" t="s">
        <v>703</v>
      </c>
      <c r="B794" s="539" t="s">
        <v>704</v>
      </c>
      <c r="C794" s="540" t="s">
        <v>705</v>
      </c>
      <c r="D794" s="660" t="s">
        <v>83</v>
      </c>
      <c r="E794" s="542">
        <v>2</v>
      </c>
      <c r="F794" s="542">
        <v>0</v>
      </c>
      <c r="G794" s="543">
        <f>E794*F794</f>
        <v>0</v>
      </c>
      <c r="H794" s="107"/>
      <c r="I794" s="107"/>
    </row>
    <row r="795" spans="1:9" s="108" customFormat="1" ht="12">
      <c r="A795" s="670" t="s">
        <v>706</v>
      </c>
      <c r="B795" s="671" t="s">
        <v>707</v>
      </c>
      <c r="C795" s="672" t="s">
        <v>708</v>
      </c>
      <c r="D795" s="292" t="s">
        <v>555</v>
      </c>
      <c r="E795" s="293">
        <f>SUM(G792:G794)/100</f>
        <v>0</v>
      </c>
      <c r="F795" s="293">
        <v>3</v>
      </c>
      <c r="G795" s="294">
        <f>E795*F795</f>
        <v>0</v>
      </c>
      <c r="H795" s="107"/>
      <c r="I795" s="107"/>
    </row>
    <row r="796" spans="1:9" s="108" customFormat="1" ht="12">
      <c r="A796" s="124"/>
      <c r="B796" s="335"/>
      <c r="C796" s="126" t="s">
        <v>160</v>
      </c>
      <c r="D796" s="336"/>
      <c r="E796" s="337">
        <v>0</v>
      </c>
      <c r="F796" s="338"/>
      <c r="G796" s="283">
        <f>SUM(G792:G795)</f>
        <v>0</v>
      </c>
      <c r="H796" s="107"/>
      <c r="I796" s="107"/>
    </row>
    <row r="797" spans="1:9" s="108" customFormat="1" ht="12">
      <c r="A797" s="101"/>
      <c r="B797" s="339">
        <v>766</v>
      </c>
      <c r="C797" s="340" t="s">
        <v>29</v>
      </c>
      <c r="D797" s="341"/>
      <c r="E797" s="342"/>
      <c r="F797" s="342"/>
      <c r="G797" s="343"/>
      <c r="H797" s="107"/>
      <c r="I797" s="107"/>
    </row>
    <row r="798" spans="1:9" s="108" customFormat="1" ht="12">
      <c r="A798" s="101" t="s">
        <v>709</v>
      </c>
      <c r="B798" s="101" t="s">
        <v>710</v>
      </c>
      <c r="C798" s="143" t="s">
        <v>711</v>
      </c>
      <c r="D798" s="104" t="s">
        <v>104</v>
      </c>
      <c r="E798" s="111">
        <v>2</v>
      </c>
      <c r="F798" s="199">
        <v>0</v>
      </c>
      <c r="G798" s="111">
        <f>PRODUCT(F798*E798)</f>
        <v>0</v>
      </c>
      <c r="H798" s="107"/>
      <c r="I798" s="107"/>
    </row>
    <row r="799" spans="1:9" s="108" customFormat="1" ht="12">
      <c r="A799" s="101"/>
      <c r="B799" s="101"/>
      <c r="C799" s="143" t="s">
        <v>712</v>
      </c>
      <c r="D799" s="104"/>
      <c r="E799" s="111"/>
      <c r="F799" s="199"/>
      <c r="G799" s="111"/>
      <c r="H799" s="107"/>
      <c r="I799" s="107"/>
    </row>
    <row r="800" spans="1:9" s="108" customFormat="1" ht="12">
      <c r="A800" s="101"/>
      <c r="B800" s="101"/>
      <c r="C800" s="143" t="s">
        <v>713</v>
      </c>
      <c r="D800" s="104"/>
      <c r="E800" s="111"/>
      <c r="F800" s="199"/>
      <c r="G800" s="111"/>
      <c r="H800" s="107"/>
      <c r="I800" s="107"/>
    </row>
    <row r="801" spans="1:9" s="108" customFormat="1" ht="12">
      <c r="A801" s="101" t="s">
        <v>714</v>
      </c>
      <c r="B801" s="101" t="s">
        <v>715</v>
      </c>
      <c r="C801" s="143" t="s">
        <v>716</v>
      </c>
      <c r="D801" s="104" t="s">
        <v>93</v>
      </c>
      <c r="E801" s="111">
        <v>3.2</v>
      </c>
      <c r="F801" s="199">
        <v>0</v>
      </c>
      <c r="G801" s="111">
        <f>E801*F801</f>
        <v>0</v>
      </c>
      <c r="H801" s="107"/>
      <c r="I801" s="107"/>
    </row>
    <row r="802" spans="1:9" s="108" customFormat="1" ht="12">
      <c r="A802" s="101"/>
      <c r="B802" s="101"/>
      <c r="C802" s="143" t="s">
        <v>717</v>
      </c>
      <c r="D802" s="104"/>
      <c r="E802" s="111"/>
      <c r="F802" s="199"/>
      <c r="G802" s="111"/>
      <c r="H802" s="107"/>
      <c r="I802" s="107"/>
    </row>
    <row r="803" spans="1:9" s="108" customFormat="1" ht="12">
      <c r="A803" s="101" t="s">
        <v>718</v>
      </c>
      <c r="B803" s="101" t="s">
        <v>719</v>
      </c>
      <c r="C803" s="143" t="s">
        <v>720</v>
      </c>
      <c r="D803" s="104" t="s">
        <v>104</v>
      </c>
      <c r="E803" s="111">
        <v>1</v>
      </c>
      <c r="F803" s="199">
        <v>0</v>
      </c>
      <c r="G803" s="111">
        <f>E803*F803</f>
        <v>0</v>
      </c>
      <c r="H803" s="107"/>
      <c r="I803" s="107"/>
    </row>
    <row r="804" spans="1:9" s="108" customFormat="1" ht="12">
      <c r="A804" s="101"/>
      <c r="B804" s="101"/>
      <c r="C804" s="143" t="s">
        <v>721</v>
      </c>
      <c r="D804" s="104"/>
      <c r="E804" s="111"/>
      <c r="F804" s="199"/>
      <c r="G804" s="111"/>
      <c r="H804" s="107"/>
      <c r="I804" s="107"/>
    </row>
    <row r="805" spans="1:9" s="108" customFormat="1" ht="12">
      <c r="A805" s="152" t="s">
        <v>722</v>
      </c>
      <c r="B805" s="152" t="s">
        <v>723</v>
      </c>
      <c r="C805" s="237" t="s">
        <v>724</v>
      </c>
      <c r="D805" s="195" t="s">
        <v>93</v>
      </c>
      <c r="E805" s="157">
        <v>3.45</v>
      </c>
      <c r="F805" s="163">
        <v>0</v>
      </c>
      <c r="G805" s="157">
        <f>E805*F805</f>
        <v>0</v>
      </c>
      <c r="H805" s="107"/>
      <c r="I805" s="107"/>
    </row>
    <row r="806" spans="1:9" s="108" customFormat="1" ht="12">
      <c r="A806" s="101"/>
      <c r="B806" s="106" t="s">
        <v>127</v>
      </c>
      <c r="C806" s="143">
        <f>0.9*1.5</f>
        <v>1.35</v>
      </c>
      <c r="D806" s="104"/>
      <c r="E806" s="111"/>
      <c r="F806" s="199"/>
      <c r="G806" s="111"/>
      <c r="H806" s="107"/>
      <c r="I806" s="107"/>
    </row>
    <row r="807" spans="1:9" s="108" customFormat="1" ht="12">
      <c r="A807" s="101"/>
      <c r="B807" s="106" t="s">
        <v>725</v>
      </c>
      <c r="C807" s="143">
        <f>0.5*1.5</f>
        <v>0.75</v>
      </c>
      <c r="D807" s="104"/>
      <c r="E807" s="111"/>
      <c r="F807" s="199"/>
      <c r="G807" s="111"/>
      <c r="H807" s="107"/>
      <c r="I807" s="107"/>
    </row>
    <row r="808" spans="1:9" s="159" customFormat="1" ht="12">
      <c r="A808" s="101"/>
      <c r="B808" s="106" t="s">
        <v>726</v>
      </c>
      <c r="C808" s="143">
        <f>0.9*1.5</f>
        <v>1.35</v>
      </c>
      <c r="D808" s="104"/>
      <c r="E808" s="111"/>
      <c r="F808" s="199"/>
      <c r="G808" s="111"/>
      <c r="H808" s="158"/>
      <c r="I808" s="158"/>
    </row>
    <row r="809" spans="1:9" s="159" customFormat="1" ht="12">
      <c r="A809" s="152" t="s">
        <v>727</v>
      </c>
      <c r="B809" s="152" t="s">
        <v>728</v>
      </c>
      <c r="C809" s="237" t="s">
        <v>729</v>
      </c>
      <c r="D809" s="195" t="s">
        <v>104</v>
      </c>
      <c r="E809" s="157">
        <v>12</v>
      </c>
      <c r="F809" s="163">
        <v>0</v>
      </c>
      <c r="G809" s="157">
        <f>PRODUCT(F809*E809)</f>
        <v>0</v>
      </c>
      <c r="H809" s="158"/>
      <c r="I809" s="158"/>
    </row>
    <row r="810" spans="1:9" s="159" customFormat="1" ht="12">
      <c r="A810" s="152"/>
      <c r="B810" s="152"/>
      <c r="C810" s="237"/>
      <c r="D810" s="195"/>
      <c r="E810" s="157"/>
      <c r="F810" s="163"/>
      <c r="G810" s="157"/>
      <c r="H810" s="158"/>
      <c r="I810" s="158"/>
    </row>
    <row r="811" spans="1:9" s="159" customFormat="1" ht="12">
      <c r="A811" s="152" t="s">
        <v>730</v>
      </c>
      <c r="B811" s="152">
        <v>611601580</v>
      </c>
      <c r="C811" s="237" t="s">
        <v>731</v>
      </c>
      <c r="D811" s="195" t="s">
        <v>104</v>
      </c>
      <c r="E811" s="157">
        <v>5</v>
      </c>
      <c r="F811" s="163">
        <v>0</v>
      </c>
      <c r="G811" s="157">
        <f>PRODUCT(F811*E811)</f>
        <v>0</v>
      </c>
      <c r="H811" s="158"/>
      <c r="I811" s="158"/>
    </row>
    <row r="812" spans="1:9" s="159" customFormat="1" ht="12">
      <c r="A812" s="152"/>
      <c r="B812" s="152"/>
      <c r="C812" s="237" t="s">
        <v>732</v>
      </c>
      <c r="D812" s="195"/>
      <c r="E812" s="157"/>
      <c r="F812" s="163"/>
      <c r="G812" s="157"/>
      <c r="H812" s="158"/>
      <c r="I812" s="158"/>
    </row>
    <row r="813" spans="1:9" s="159" customFormat="1" ht="12">
      <c r="A813" s="152" t="s">
        <v>733</v>
      </c>
      <c r="B813" s="152">
        <v>611601590</v>
      </c>
      <c r="C813" s="237" t="s">
        <v>734</v>
      </c>
      <c r="D813" s="195" t="s">
        <v>104</v>
      </c>
      <c r="E813" s="157">
        <v>3</v>
      </c>
      <c r="F813" s="163">
        <v>0</v>
      </c>
      <c r="G813" s="157">
        <f>PRODUCT(F813*E813)</f>
        <v>0</v>
      </c>
      <c r="H813" s="158"/>
      <c r="I813" s="158"/>
    </row>
    <row r="814" spans="1:9" s="159" customFormat="1" ht="12">
      <c r="A814" s="152"/>
      <c r="B814" s="152"/>
      <c r="C814" s="237" t="s">
        <v>735</v>
      </c>
      <c r="D814" s="195"/>
      <c r="E814" s="157"/>
      <c r="F814" s="163"/>
      <c r="G814" s="157"/>
      <c r="H814" s="158"/>
      <c r="I814" s="158"/>
    </row>
    <row r="815" spans="1:9" s="159" customFormat="1" ht="12">
      <c r="A815" s="152"/>
      <c r="B815" s="152"/>
      <c r="C815" s="237"/>
      <c r="D815" s="195"/>
      <c r="E815" s="157"/>
      <c r="F815" s="163"/>
      <c r="G815" s="157"/>
      <c r="H815" s="158"/>
      <c r="I815" s="158"/>
    </row>
    <row r="816" spans="1:9" s="159" customFormat="1" ht="12">
      <c r="A816" s="152" t="s">
        <v>736</v>
      </c>
      <c r="B816" s="152">
        <v>611601880</v>
      </c>
      <c r="C816" s="237" t="s">
        <v>734</v>
      </c>
      <c r="D816" s="195" t="s">
        <v>104</v>
      </c>
      <c r="E816" s="157">
        <v>4</v>
      </c>
      <c r="F816" s="163">
        <v>0</v>
      </c>
      <c r="G816" s="157">
        <f>PRODUCT(F816*E816)</f>
        <v>0</v>
      </c>
      <c r="H816" s="158"/>
      <c r="I816" s="158"/>
    </row>
    <row r="817" spans="1:9" s="159" customFormat="1" ht="12">
      <c r="A817" s="152"/>
      <c r="B817" s="152"/>
      <c r="C817" s="237" t="s">
        <v>737</v>
      </c>
      <c r="D817" s="195"/>
      <c r="E817" s="157"/>
      <c r="F817" s="163"/>
      <c r="G817" s="157"/>
      <c r="H817" s="158"/>
      <c r="I817" s="158"/>
    </row>
    <row r="818" spans="1:9" s="159" customFormat="1" ht="12">
      <c r="A818" s="152"/>
      <c r="B818" s="152"/>
      <c r="C818" s="237"/>
      <c r="D818" s="195"/>
      <c r="E818" s="157"/>
      <c r="F818" s="163"/>
      <c r="G818" s="157"/>
      <c r="H818" s="158"/>
      <c r="I818" s="158"/>
    </row>
    <row r="819" spans="1:9" s="159" customFormat="1" ht="12">
      <c r="A819" s="152" t="s">
        <v>738</v>
      </c>
      <c r="B819" s="152" t="s">
        <v>739</v>
      </c>
      <c r="C819" s="237" t="s">
        <v>740</v>
      </c>
      <c r="D819" s="195" t="s">
        <v>104</v>
      </c>
      <c r="E819" s="157">
        <v>2</v>
      </c>
      <c r="F819" s="163">
        <v>0</v>
      </c>
      <c r="G819" s="157">
        <f>PRODUCT(F819*E819)</f>
        <v>0</v>
      </c>
      <c r="H819" s="158"/>
      <c r="I819" s="158"/>
    </row>
    <row r="820" spans="1:9" s="159" customFormat="1" ht="12">
      <c r="A820" s="152"/>
      <c r="B820" s="152"/>
      <c r="C820" s="237"/>
      <c r="D820" s="195"/>
      <c r="E820" s="157"/>
      <c r="F820" s="163"/>
      <c r="G820" s="157"/>
      <c r="H820" s="158"/>
      <c r="I820" s="158"/>
    </row>
    <row r="821" spans="1:9" s="159" customFormat="1" ht="12">
      <c r="A821" s="152" t="s">
        <v>741</v>
      </c>
      <c r="B821" s="152">
        <v>611602180</v>
      </c>
      <c r="C821" s="237" t="s">
        <v>742</v>
      </c>
      <c r="D821" s="195" t="s">
        <v>104</v>
      </c>
      <c r="E821" s="157">
        <v>2</v>
      </c>
      <c r="F821" s="163">
        <v>0</v>
      </c>
      <c r="G821" s="157">
        <f>PRODUCT(F821*E821)</f>
        <v>0</v>
      </c>
      <c r="H821" s="158"/>
      <c r="I821" s="158"/>
    </row>
    <row r="822" spans="1:9" s="159" customFormat="1" ht="12">
      <c r="A822" s="152"/>
      <c r="B822" s="152"/>
      <c r="C822" s="237" t="s">
        <v>743</v>
      </c>
      <c r="D822" s="195"/>
      <c r="E822" s="157"/>
      <c r="F822" s="163"/>
      <c r="G822" s="157"/>
      <c r="H822" s="158"/>
      <c r="I822" s="158"/>
    </row>
    <row r="823" spans="1:9" s="159" customFormat="1" ht="12">
      <c r="A823" s="152" t="s">
        <v>744</v>
      </c>
      <c r="B823" s="152" t="s">
        <v>745</v>
      </c>
      <c r="C823" s="237" t="s">
        <v>746</v>
      </c>
      <c r="D823" s="195" t="s">
        <v>104</v>
      </c>
      <c r="E823" s="157">
        <v>5</v>
      </c>
      <c r="F823" s="163">
        <v>0</v>
      </c>
      <c r="G823" s="157">
        <f>PRODUCT(F823*E823)</f>
        <v>0</v>
      </c>
      <c r="H823" s="158"/>
      <c r="I823" s="158"/>
    </row>
    <row r="824" spans="1:9" s="159" customFormat="1" ht="12">
      <c r="A824" s="152"/>
      <c r="B824" s="152"/>
      <c r="C824" s="237"/>
      <c r="D824" s="195"/>
      <c r="E824" s="157"/>
      <c r="F824" s="163"/>
      <c r="G824" s="157"/>
      <c r="H824" s="158"/>
      <c r="I824" s="158"/>
    </row>
    <row r="825" spans="1:9" s="159" customFormat="1" ht="12">
      <c r="A825" s="152" t="s">
        <v>747</v>
      </c>
      <c r="B825" s="152">
        <v>611653100</v>
      </c>
      <c r="C825" s="237" t="s">
        <v>748</v>
      </c>
      <c r="D825" s="195" t="s">
        <v>104</v>
      </c>
      <c r="E825" s="157">
        <v>3</v>
      </c>
      <c r="F825" s="163">
        <v>0</v>
      </c>
      <c r="G825" s="157">
        <f>PRODUCT(F825*E825)</f>
        <v>0</v>
      </c>
      <c r="H825" s="158"/>
      <c r="I825" s="158"/>
    </row>
    <row r="826" spans="1:9" s="159" customFormat="1" ht="12">
      <c r="A826" s="152"/>
      <c r="B826" s="152"/>
      <c r="C826" s="237" t="s">
        <v>749</v>
      </c>
      <c r="D826" s="195"/>
      <c r="E826" s="157"/>
      <c r="F826" s="163"/>
      <c r="G826" s="157"/>
      <c r="H826" s="158"/>
      <c r="I826" s="158"/>
    </row>
    <row r="827" spans="1:9" s="159" customFormat="1" ht="12">
      <c r="A827" s="152" t="s">
        <v>750</v>
      </c>
      <c r="B827" s="152">
        <v>611653200</v>
      </c>
      <c r="C827" s="237" t="s">
        <v>751</v>
      </c>
      <c r="D827" s="195" t="s">
        <v>104</v>
      </c>
      <c r="E827" s="157">
        <v>2</v>
      </c>
      <c r="F827" s="163">
        <v>0</v>
      </c>
      <c r="G827" s="157">
        <f>PRODUCT(F827*E827)</f>
        <v>0</v>
      </c>
      <c r="H827" s="158"/>
      <c r="I827" s="158"/>
    </row>
    <row r="828" spans="1:9" s="159" customFormat="1" ht="12">
      <c r="A828" s="152"/>
      <c r="B828" s="152"/>
      <c r="C828" s="237" t="s">
        <v>752</v>
      </c>
      <c r="D828" s="195"/>
      <c r="E828" s="157"/>
      <c r="F828" s="163"/>
      <c r="G828" s="157"/>
      <c r="H828" s="158"/>
      <c r="I828" s="158"/>
    </row>
    <row r="829" spans="1:9" s="159" customFormat="1" ht="12">
      <c r="A829" s="152" t="s">
        <v>753</v>
      </c>
      <c r="B829" s="152" t="s">
        <v>728</v>
      </c>
      <c r="C829" s="237" t="s">
        <v>729</v>
      </c>
      <c r="D829" s="195" t="s">
        <v>104</v>
      </c>
      <c r="E829" s="157">
        <v>51</v>
      </c>
      <c r="F829" s="163">
        <v>0</v>
      </c>
      <c r="G829" s="157">
        <f>PRODUCT(F829*E829)</f>
        <v>0</v>
      </c>
      <c r="H829" s="158"/>
      <c r="I829" s="158"/>
    </row>
    <row r="830" spans="1:9" s="108" customFormat="1" ht="12">
      <c r="A830" s="152"/>
      <c r="B830" s="152" t="s">
        <v>754</v>
      </c>
      <c r="C830" s="237">
        <f>(24+23+23)-19</f>
        <v>51</v>
      </c>
      <c r="D830" s="195"/>
      <c r="E830" s="157"/>
      <c r="F830" s="163"/>
      <c r="G830" s="157"/>
      <c r="H830" s="107"/>
      <c r="I830" s="107"/>
    </row>
    <row r="831" spans="1:9" s="108" customFormat="1" ht="12">
      <c r="A831" s="101"/>
      <c r="B831" s="101"/>
      <c r="C831" s="237"/>
      <c r="D831" s="104"/>
      <c r="E831" s="111"/>
      <c r="F831" s="199"/>
      <c r="G831" s="111"/>
      <c r="H831" s="107"/>
      <c r="I831" s="107"/>
    </row>
    <row r="832" spans="1:9" s="108" customFormat="1" ht="12">
      <c r="A832" s="101"/>
      <c r="B832" s="101"/>
      <c r="C832" s="237"/>
      <c r="D832" s="104"/>
      <c r="E832" s="111"/>
      <c r="F832" s="199"/>
      <c r="G832" s="111"/>
      <c r="H832" s="107"/>
      <c r="I832" s="107"/>
    </row>
    <row r="833" spans="1:9" s="108" customFormat="1" ht="12">
      <c r="A833" s="101" t="s">
        <v>755</v>
      </c>
      <c r="B833" s="101" t="s">
        <v>756</v>
      </c>
      <c r="C833" s="237" t="s">
        <v>757</v>
      </c>
      <c r="D833" s="104" t="s">
        <v>93</v>
      </c>
      <c r="E833" s="111">
        <v>17.7</v>
      </c>
      <c r="F833" s="199">
        <v>0</v>
      </c>
      <c r="G833" s="111">
        <f>PRODUCT(F833*E833)</f>
        <v>0</v>
      </c>
      <c r="H833" s="107"/>
      <c r="I833" s="107"/>
    </row>
    <row r="834" spans="1:9" s="108" customFormat="1" ht="12">
      <c r="A834" s="101"/>
      <c r="B834" s="101"/>
      <c r="C834" s="143" t="s">
        <v>758</v>
      </c>
      <c r="D834" s="104"/>
      <c r="E834" s="111"/>
      <c r="F834" s="199"/>
      <c r="G834" s="111"/>
      <c r="H834" s="107"/>
      <c r="I834" s="107"/>
    </row>
    <row r="835" spans="1:9" s="108" customFormat="1" ht="12">
      <c r="A835" s="101"/>
      <c r="B835" s="101"/>
      <c r="C835" s="143" t="s">
        <v>759</v>
      </c>
      <c r="D835" s="104"/>
      <c r="E835" s="111"/>
      <c r="F835" s="199"/>
      <c r="G835" s="111"/>
      <c r="H835" s="107"/>
      <c r="I835" s="107"/>
    </row>
    <row r="836" spans="1:9" s="108" customFormat="1" ht="12">
      <c r="A836" s="101"/>
      <c r="B836" s="101"/>
      <c r="C836" s="143" t="s">
        <v>760</v>
      </c>
      <c r="D836" s="104"/>
      <c r="E836" s="111"/>
      <c r="F836" s="199"/>
      <c r="G836" s="111"/>
      <c r="H836" s="107"/>
      <c r="I836" s="107"/>
    </row>
    <row r="837" spans="1:9" s="108" customFormat="1" ht="12">
      <c r="A837" s="101"/>
      <c r="B837" s="101"/>
      <c r="C837" s="143" t="s">
        <v>761</v>
      </c>
      <c r="D837" s="104"/>
      <c r="E837" s="111"/>
      <c r="F837" s="199"/>
      <c r="G837" s="111"/>
      <c r="H837" s="107"/>
      <c r="I837" s="107"/>
    </row>
    <row r="838" spans="1:8" s="345" customFormat="1" ht="12">
      <c r="A838" s="101"/>
      <c r="B838" s="101"/>
      <c r="C838" s="143"/>
      <c r="D838" s="104"/>
      <c r="E838" s="111"/>
      <c r="F838" s="199"/>
      <c r="G838" s="111"/>
      <c r="H838" s="344"/>
    </row>
    <row r="839" spans="1:8" s="345" customFormat="1" ht="12">
      <c r="A839" s="346" t="s">
        <v>762</v>
      </c>
      <c r="B839" s="347" t="s">
        <v>488</v>
      </c>
      <c r="C839" s="348" t="s">
        <v>763</v>
      </c>
      <c r="D839" s="348" t="s">
        <v>157</v>
      </c>
      <c r="E839" s="349">
        <v>3</v>
      </c>
      <c r="F839" s="350">
        <v>0</v>
      </c>
      <c r="G839" s="351">
        <f>PRODUCT(F839*E839)</f>
        <v>0</v>
      </c>
      <c r="H839" s="344"/>
    </row>
    <row r="840" spans="1:9" s="108" customFormat="1" ht="12">
      <c r="A840" s="346"/>
      <c r="B840" s="347"/>
      <c r="C840" s="348" t="s">
        <v>764</v>
      </c>
      <c r="D840" s="348"/>
      <c r="E840" s="349"/>
      <c r="F840" s="350"/>
      <c r="G840" s="351"/>
      <c r="H840" s="107"/>
      <c r="I840" s="107"/>
    </row>
    <row r="841" spans="1:9" s="108" customFormat="1" ht="12">
      <c r="A841" s="101" t="s">
        <v>765</v>
      </c>
      <c r="B841" s="141" t="s">
        <v>766</v>
      </c>
      <c r="C841" s="148" t="s">
        <v>767</v>
      </c>
      <c r="D841" s="148" t="s">
        <v>555</v>
      </c>
      <c r="E841" s="149">
        <f>SUM(G798:G840)/100</f>
        <v>0</v>
      </c>
      <c r="F841" s="149">
        <v>4</v>
      </c>
      <c r="G841" s="111">
        <f>ROUND(PRODUCT(E841*F841),0)</f>
        <v>0</v>
      </c>
      <c r="H841" s="107"/>
      <c r="I841" s="107"/>
    </row>
    <row r="842" spans="1:9" s="108" customFormat="1" ht="12">
      <c r="A842" s="101" t="s">
        <v>768</v>
      </c>
      <c r="B842" s="255" t="s">
        <v>766</v>
      </c>
      <c r="C842" s="213" t="s">
        <v>769</v>
      </c>
      <c r="D842" s="214" t="s">
        <v>555</v>
      </c>
      <c r="E842" s="215">
        <f>SUM(G798:G840)/100</f>
        <v>0</v>
      </c>
      <c r="F842" s="215">
        <v>2</v>
      </c>
      <c r="G842" s="135">
        <f>ROUND(PRODUCT(E842*F842),0)</f>
        <v>0</v>
      </c>
      <c r="H842" s="107"/>
      <c r="I842" s="107"/>
    </row>
    <row r="843" spans="1:9" s="108" customFormat="1" ht="12">
      <c r="A843" s="124"/>
      <c r="B843" s="352"/>
      <c r="C843" s="353" t="s">
        <v>160</v>
      </c>
      <c r="D843" s="354"/>
      <c r="E843" s="355"/>
      <c r="F843" s="356"/>
      <c r="G843" s="357">
        <f>SUM(G798:G842)</f>
        <v>0</v>
      </c>
      <c r="H843" s="107"/>
      <c r="I843" s="107"/>
    </row>
    <row r="844" spans="1:9" s="108" customFormat="1" ht="12">
      <c r="A844" s="101"/>
      <c r="B844" s="102">
        <v>767</v>
      </c>
      <c r="C844" s="216" t="s">
        <v>770</v>
      </c>
      <c r="D844" s="217"/>
      <c r="E844" s="218"/>
      <c r="F844" s="218"/>
      <c r="G844" s="231"/>
      <c r="H844" s="107"/>
      <c r="I844" s="107"/>
    </row>
    <row r="845" spans="1:9" s="108" customFormat="1" ht="12">
      <c r="A845" s="101" t="s">
        <v>771</v>
      </c>
      <c r="B845" s="141" t="s">
        <v>772</v>
      </c>
      <c r="C845" s="187" t="s">
        <v>773</v>
      </c>
      <c r="D845" s="358" t="s">
        <v>104</v>
      </c>
      <c r="E845" s="227">
        <v>3</v>
      </c>
      <c r="F845" s="359">
        <v>0</v>
      </c>
      <c r="G845" s="360">
        <f>F845*E845</f>
        <v>0</v>
      </c>
      <c r="H845" s="107"/>
      <c r="I845" s="107"/>
    </row>
    <row r="846" spans="1:9" s="108" customFormat="1" ht="12">
      <c r="A846" s="101"/>
      <c r="B846" s="141"/>
      <c r="C846" s="187" t="s">
        <v>774</v>
      </c>
      <c r="D846" s="358"/>
      <c r="E846" s="227"/>
      <c r="F846" s="359"/>
      <c r="G846" s="360"/>
      <c r="H846" s="107"/>
      <c r="I846" s="107"/>
    </row>
    <row r="847" spans="1:9" s="108" customFormat="1" ht="12">
      <c r="A847" s="101"/>
      <c r="B847" s="141"/>
      <c r="C847" s="187" t="s">
        <v>775</v>
      </c>
      <c r="D847" s="358"/>
      <c r="E847" s="227"/>
      <c r="F847" s="359"/>
      <c r="G847" s="360"/>
      <c r="H847" s="107"/>
      <c r="I847" s="107"/>
    </row>
    <row r="848" spans="1:9" s="108" customFormat="1" ht="12">
      <c r="A848" s="101"/>
      <c r="B848" s="141"/>
      <c r="C848" s="187" t="s">
        <v>776</v>
      </c>
      <c r="D848" s="358"/>
      <c r="E848" s="227"/>
      <c r="F848" s="359"/>
      <c r="G848" s="360"/>
      <c r="H848" s="107"/>
      <c r="I848" s="107"/>
    </row>
    <row r="849" spans="1:9" s="108" customFormat="1" ht="12">
      <c r="A849" s="101" t="s">
        <v>777</v>
      </c>
      <c r="B849" s="141" t="s">
        <v>778</v>
      </c>
      <c r="C849" s="187" t="s">
        <v>779</v>
      </c>
      <c r="D849" s="358" t="s">
        <v>104</v>
      </c>
      <c r="E849" s="227">
        <v>2</v>
      </c>
      <c r="F849" s="359">
        <v>0</v>
      </c>
      <c r="G849" s="360">
        <f>F849*E849</f>
        <v>0</v>
      </c>
      <c r="H849" s="107"/>
      <c r="I849" s="107"/>
    </row>
    <row r="850" spans="1:9" s="159" customFormat="1" ht="12">
      <c r="A850" s="423"/>
      <c r="B850" s="636" t="s">
        <v>159</v>
      </c>
      <c r="C850" s="187"/>
      <c r="D850" s="358"/>
      <c r="E850" s="227"/>
      <c r="F850" s="359"/>
      <c r="G850" s="360"/>
      <c r="H850" s="158"/>
      <c r="I850" s="158"/>
    </row>
    <row r="851" spans="1:9" s="159" customFormat="1" ht="12">
      <c r="A851" s="514" t="s">
        <v>780</v>
      </c>
      <c r="B851" s="532" t="s">
        <v>781</v>
      </c>
      <c r="C851" s="522" t="s">
        <v>782</v>
      </c>
      <c r="D851" s="643" t="s">
        <v>93</v>
      </c>
      <c r="E851" s="524">
        <v>389.8</v>
      </c>
      <c r="F851" s="517">
        <v>0</v>
      </c>
      <c r="G851" s="518">
        <f>F851*E851</f>
        <v>0</v>
      </c>
      <c r="H851" s="158"/>
      <c r="I851" s="158"/>
    </row>
    <row r="852" spans="1:9" s="159" customFormat="1" ht="12">
      <c r="A852" s="514"/>
      <c r="B852" s="525" t="s">
        <v>95</v>
      </c>
      <c r="C852" s="522"/>
      <c r="D852" s="643"/>
      <c r="E852" s="524"/>
      <c r="F852" s="517"/>
      <c r="G852" s="518"/>
      <c r="H852" s="158"/>
      <c r="I852" s="158"/>
    </row>
    <row r="853" spans="1:9" s="159" customFormat="1" ht="12">
      <c r="A853" s="514"/>
      <c r="B853" s="519" t="s">
        <v>212</v>
      </c>
      <c r="C853" s="522">
        <v>13</v>
      </c>
      <c r="D853" s="643"/>
      <c r="E853" s="524"/>
      <c r="F853" s="517"/>
      <c r="G853" s="518"/>
      <c r="H853" s="158"/>
      <c r="I853" s="158"/>
    </row>
    <row r="854" spans="1:9" s="159" customFormat="1" ht="12">
      <c r="A854" s="514"/>
      <c r="B854" s="525" t="s">
        <v>97</v>
      </c>
      <c r="C854" s="522"/>
      <c r="D854" s="643"/>
      <c r="E854" s="524"/>
      <c r="F854" s="517"/>
      <c r="G854" s="518"/>
      <c r="H854" s="158"/>
      <c r="I854" s="158"/>
    </row>
    <row r="855" spans="1:9" s="159" customFormat="1" ht="12">
      <c r="A855" s="514"/>
      <c r="B855" s="519" t="s">
        <v>783</v>
      </c>
      <c r="C855" s="522">
        <f>52.3+27.2+17.5+25.7+19+24.1+11.2+19.4+20+17.9+5.4+5.8+22.8+4.3+2.3</f>
        <v>274.90000000000003</v>
      </c>
      <c r="D855" s="643"/>
      <c r="E855" s="524"/>
      <c r="F855" s="517"/>
      <c r="G855" s="518"/>
      <c r="H855" s="158"/>
      <c r="I855" s="158"/>
    </row>
    <row r="856" spans="1:9" s="159" customFormat="1" ht="12">
      <c r="A856" s="409"/>
      <c r="B856" s="637" t="s">
        <v>784</v>
      </c>
      <c r="C856" s="638">
        <f>4.5+8.7+13.3+72.8+2.6</f>
        <v>101.89999999999999</v>
      </c>
      <c r="D856" s="639"/>
      <c r="E856" s="640"/>
      <c r="F856" s="641"/>
      <c r="G856" s="642"/>
      <c r="H856" s="158"/>
      <c r="I856" s="158"/>
    </row>
    <row r="857" spans="1:9" s="159" customFormat="1" ht="12">
      <c r="A857" s="152"/>
      <c r="B857" s="361"/>
      <c r="C857" s="189">
        <f>SUM(C853:C856)</f>
        <v>389.8</v>
      </c>
      <c r="D857" s="362"/>
      <c r="E857" s="363"/>
      <c r="F857" s="364"/>
      <c r="G857" s="365"/>
      <c r="H857" s="158"/>
      <c r="I857" s="158"/>
    </row>
    <row r="858" spans="1:9" s="159" customFormat="1" ht="12">
      <c r="A858" s="152" t="s">
        <v>785</v>
      </c>
      <c r="B858" s="361" t="s">
        <v>786</v>
      </c>
      <c r="C858" s="189" t="s">
        <v>787</v>
      </c>
      <c r="D858" s="362" t="s">
        <v>788</v>
      </c>
      <c r="E858" s="363">
        <v>50</v>
      </c>
      <c r="F858" s="364">
        <v>0</v>
      </c>
      <c r="G858" s="365">
        <f>F858*E858</f>
        <v>0</v>
      </c>
      <c r="H858" s="158"/>
      <c r="I858" s="158"/>
    </row>
    <row r="859" spans="1:9" s="159" customFormat="1" ht="12">
      <c r="A859" s="152"/>
      <c r="B859" s="361"/>
      <c r="C859" s="189" t="s">
        <v>789</v>
      </c>
      <c r="D859" s="362"/>
      <c r="E859" s="363"/>
      <c r="F859" s="364"/>
      <c r="G859" s="365"/>
      <c r="H859" s="158"/>
      <c r="I859" s="158"/>
    </row>
    <row r="860" spans="1:9" s="159" customFormat="1" ht="12">
      <c r="A860" s="152" t="s">
        <v>790</v>
      </c>
      <c r="B860" s="361" t="s">
        <v>791</v>
      </c>
      <c r="C860" s="189" t="s">
        <v>792</v>
      </c>
      <c r="D860" s="362" t="s">
        <v>104</v>
      </c>
      <c r="E860" s="363">
        <v>6</v>
      </c>
      <c r="F860" s="364">
        <v>0</v>
      </c>
      <c r="G860" s="365">
        <f>E860*F860</f>
        <v>0</v>
      </c>
      <c r="H860" s="158"/>
      <c r="I860" s="158"/>
    </row>
    <row r="861" spans="1:9" s="159" customFormat="1" ht="12">
      <c r="A861" s="152"/>
      <c r="B861" s="361"/>
      <c r="C861" s="189" t="s">
        <v>793</v>
      </c>
      <c r="D861" s="362"/>
      <c r="E861" s="363"/>
      <c r="F861" s="364"/>
      <c r="G861" s="365"/>
      <c r="H861" s="158"/>
      <c r="I861" s="158"/>
    </row>
    <row r="862" spans="1:9" s="159" customFormat="1" ht="12">
      <c r="A862" s="152" t="s">
        <v>794</v>
      </c>
      <c r="B862" s="361" t="s">
        <v>795</v>
      </c>
      <c r="C862" s="189" t="s">
        <v>796</v>
      </c>
      <c r="D862" s="362" t="s">
        <v>104</v>
      </c>
      <c r="E862" s="363">
        <v>2</v>
      </c>
      <c r="F862" s="364">
        <v>0</v>
      </c>
      <c r="G862" s="365">
        <f>E862*F862</f>
        <v>0</v>
      </c>
      <c r="H862" s="158"/>
      <c r="I862" s="158"/>
    </row>
    <row r="863" spans="1:9" s="159" customFormat="1" ht="12">
      <c r="A863" s="152"/>
      <c r="B863" s="361"/>
      <c r="C863" s="189" t="s">
        <v>797</v>
      </c>
      <c r="D863" s="362"/>
      <c r="E863" s="363"/>
      <c r="F863" s="364"/>
      <c r="G863" s="365"/>
      <c r="H863" s="158"/>
      <c r="I863" s="158"/>
    </row>
    <row r="864" spans="1:9" s="159" customFormat="1" ht="12">
      <c r="A864" s="152" t="s">
        <v>798</v>
      </c>
      <c r="B864" s="361" t="s">
        <v>799</v>
      </c>
      <c r="C864" s="189" t="s">
        <v>800</v>
      </c>
      <c r="D864" s="362" t="s">
        <v>104</v>
      </c>
      <c r="E864" s="363">
        <v>2</v>
      </c>
      <c r="F864" s="364">
        <v>0</v>
      </c>
      <c r="G864" s="365">
        <f>E864*F864</f>
        <v>0</v>
      </c>
      <c r="H864" s="158"/>
      <c r="I864" s="158"/>
    </row>
    <row r="865" spans="1:9" s="159" customFormat="1" ht="12">
      <c r="A865" s="152"/>
      <c r="B865" s="361"/>
      <c r="C865" s="189" t="s">
        <v>801</v>
      </c>
      <c r="D865" s="362"/>
      <c r="E865" s="363"/>
      <c r="F865" s="364"/>
      <c r="G865" s="365"/>
      <c r="H865" s="158"/>
      <c r="I865" s="158"/>
    </row>
    <row r="866" spans="1:9" s="159" customFormat="1" ht="12">
      <c r="A866" s="152" t="s">
        <v>802</v>
      </c>
      <c r="B866" s="366" t="s">
        <v>803</v>
      </c>
      <c r="C866" s="189" t="s">
        <v>804</v>
      </c>
      <c r="D866" s="362" t="s">
        <v>104</v>
      </c>
      <c r="E866" s="363">
        <v>2</v>
      </c>
      <c r="F866" s="364">
        <v>0</v>
      </c>
      <c r="G866" s="365">
        <f>E866*F866</f>
        <v>0</v>
      </c>
      <c r="H866" s="158"/>
      <c r="I866" s="158"/>
    </row>
    <row r="867" spans="1:9" s="159" customFormat="1" ht="12">
      <c r="A867" s="367"/>
      <c r="B867" s="361"/>
      <c r="C867" s="155" t="s">
        <v>805</v>
      </c>
      <c r="D867" s="195"/>
      <c r="E867" s="157"/>
      <c r="F867" s="163"/>
      <c r="G867" s="164"/>
      <c r="H867" s="158"/>
      <c r="I867" s="158"/>
    </row>
    <row r="868" spans="1:9" s="159" customFormat="1" ht="12">
      <c r="A868" s="368"/>
      <c r="B868" s="361"/>
      <c r="C868" s="155"/>
      <c r="D868" s="195"/>
      <c r="E868" s="157"/>
      <c r="F868" s="163"/>
      <c r="G868" s="164"/>
      <c r="H868" s="158"/>
      <c r="I868" s="158"/>
    </row>
    <row r="869" spans="1:9" s="108" customFormat="1" ht="12">
      <c r="A869" s="367" t="s">
        <v>806</v>
      </c>
      <c r="B869" s="361" t="s">
        <v>807</v>
      </c>
      <c r="C869" s="155" t="s">
        <v>808</v>
      </c>
      <c r="D869" s="195" t="s">
        <v>555</v>
      </c>
      <c r="E869" s="157">
        <f>SUM(G845:G868)/100</f>
        <v>0</v>
      </c>
      <c r="F869" s="163">
        <v>6</v>
      </c>
      <c r="G869" s="164">
        <f>E869*F869</f>
        <v>0</v>
      </c>
      <c r="H869" s="107"/>
      <c r="I869" s="107"/>
    </row>
    <row r="870" spans="1:9" s="108" customFormat="1" ht="12">
      <c r="A870" s="101" t="s">
        <v>809</v>
      </c>
      <c r="B870" s="369" t="s">
        <v>810</v>
      </c>
      <c r="C870" s="213" t="s">
        <v>811</v>
      </c>
      <c r="D870" s="213" t="s">
        <v>555</v>
      </c>
      <c r="E870" s="370">
        <f>SUM(G845:G868)/100</f>
        <v>0</v>
      </c>
      <c r="F870" s="370">
        <v>3</v>
      </c>
      <c r="G870" s="371">
        <f>ROUND(PRODUCT(E870*F870),0)</f>
        <v>0</v>
      </c>
      <c r="H870" s="107"/>
      <c r="I870" s="107"/>
    </row>
    <row r="871" spans="1:9" s="108" customFormat="1" ht="12">
      <c r="A871" s="124" t="s">
        <v>812</v>
      </c>
      <c r="B871" s="221"/>
      <c r="C871" s="126" t="s">
        <v>160</v>
      </c>
      <c r="D871" s="207"/>
      <c r="E871" s="208"/>
      <c r="F871" s="222"/>
      <c r="G871" s="372">
        <f>SUM(G845:G870)</f>
        <v>0</v>
      </c>
      <c r="H871" s="107"/>
      <c r="I871" s="107"/>
    </row>
    <row r="872" spans="1:9" s="108" customFormat="1" ht="12">
      <c r="A872" s="101"/>
      <c r="B872" s="102">
        <v>771</v>
      </c>
      <c r="C872" s="216" t="s">
        <v>31</v>
      </c>
      <c r="D872" s="217"/>
      <c r="E872" s="218"/>
      <c r="F872" s="218"/>
      <c r="G872" s="231"/>
      <c r="H872" s="107"/>
      <c r="I872" s="107"/>
    </row>
    <row r="873" spans="1:9" s="108" customFormat="1" ht="12">
      <c r="A873" s="101" t="s">
        <v>813</v>
      </c>
      <c r="B873" s="109" t="s">
        <v>814</v>
      </c>
      <c r="C873" s="148" t="s">
        <v>815</v>
      </c>
      <c r="D873" s="148" t="s">
        <v>93</v>
      </c>
      <c r="E873" s="149">
        <v>132.4</v>
      </c>
      <c r="F873" s="149">
        <v>0</v>
      </c>
      <c r="G873" s="111">
        <f>PRODUCT(F873*E873)</f>
        <v>0</v>
      </c>
      <c r="H873" s="107"/>
      <c r="I873" s="107"/>
    </row>
    <row r="874" spans="1:9" s="108" customFormat="1" ht="12">
      <c r="A874" s="101"/>
      <c r="B874" s="112" t="s">
        <v>308</v>
      </c>
      <c r="C874" s="148"/>
      <c r="D874" s="148"/>
      <c r="E874" s="149"/>
      <c r="F874" s="149"/>
      <c r="G874" s="111"/>
      <c r="H874" s="107"/>
      <c r="I874" s="107"/>
    </row>
    <row r="875" spans="1:9" s="108" customFormat="1" ht="12">
      <c r="A875" s="101"/>
      <c r="B875" s="112" t="s">
        <v>309</v>
      </c>
      <c r="C875" s="148">
        <f>54+5.2+4.2+12.5</f>
        <v>75.9</v>
      </c>
      <c r="D875" s="148"/>
      <c r="E875" s="149"/>
      <c r="F875" s="149"/>
      <c r="G875" s="111"/>
      <c r="H875" s="107"/>
      <c r="I875" s="107"/>
    </row>
    <row r="876" spans="1:9" s="108" customFormat="1" ht="12">
      <c r="A876" s="101"/>
      <c r="B876" s="112" t="s">
        <v>97</v>
      </c>
      <c r="C876" s="148"/>
      <c r="D876" s="148"/>
      <c r="E876" s="149"/>
      <c r="F876" s="149"/>
      <c r="G876" s="111"/>
      <c r="H876" s="107"/>
      <c r="I876" s="107"/>
    </row>
    <row r="877" spans="1:9" s="108" customFormat="1" ht="12">
      <c r="A877" s="101"/>
      <c r="B877" s="112" t="s">
        <v>310</v>
      </c>
      <c r="C877" s="148">
        <f>5.4+5.8+4.3+2.3+4.5</f>
        <v>22.3</v>
      </c>
      <c r="D877" s="148"/>
      <c r="E877" s="149"/>
      <c r="F877" s="149"/>
      <c r="G877" s="111"/>
      <c r="H877" s="107"/>
      <c r="I877" s="107"/>
    </row>
    <row r="878" spans="1:9" s="108" customFormat="1" ht="12">
      <c r="A878" s="101"/>
      <c r="B878" s="112" t="s">
        <v>311</v>
      </c>
      <c r="C878" s="148"/>
      <c r="D878" s="148"/>
      <c r="E878" s="149"/>
      <c r="F878" s="149"/>
      <c r="G878" s="111"/>
      <c r="H878" s="107"/>
      <c r="I878" s="107"/>
    </row>
    <row r="879" spans="1:9" s="108" customFormat="1" ht="12">
      <c r="A879" s="101"/>
      <c r="B879" s="112" t="s">
        <v>99</v>
      </c>
      <c r="C879" s="148"/>
      <c r="D879" s="148"/>
      <c r="E879" s="149"/>
      <c r="F879" s="149"/>
      <c r="G879" s="111"/>
      <c r="H879" s="107"/>
      <c r="I879" s="107"/>
    </row>
    <row r="880" spans="1:9" s="108" customFormat="1" ht="12">
      <c r="A880" s="101"/>
      <c r="B880" s="112" t="s">
        <v>312</v>
      </c>
      <c r="C880" s="148">
        <f>3.1+3.4+3+4.2+3.9</f>
        <v>17.599999999999998</v>
      </c>
      <c r="D880" s="148"/>
      <c r="E880" s="149"/>
      <c r="F880" s="149"/>
      <c r="G880" s="111"/>
      <c r="H880" s="107"/>
      <c r="I880" s="107"/>
    </row>
    <row r="881" spans="1:9" s="108" customFormat="1" ht="12">
      <c r="A881" s="101"/>
      <c r="B881" s="112" t="s">
        <v>313</v>
      </c>
      <c r="C881" s="148">
        <f>1.3+1.3</f>
        <v>2.6</v>
      </c>
      <c r="D881" s="148"/>
      <c r="E881" s="149"/>
      <c r="F881" s="149"/>
      <c r="G881" s="111"/>
      <c r="H881" s="107"/>
      <c r="I881" s="107"/>
    </row>
    <row r="882" spans="1:9" s="108" customFormat="1" ht="12">
      <c r="A882" s="101"/>
      <c r="B882" s="112" t="s">
        <v>314</v>
      </c>
      <c r="C882" s="148">
        <f>3.1+10.9</f>
        <v>14</v>
      </c>
      <c r="D882" s="148"/>
      <c r="E882" s="149"/>
      <c r="F882" s="149"/>
      <c r="G882" s="111"/>
      <c r="H882" s="107"/>
      <c r="I882" s="107"/>
    </row>
    <row r="883" spans="1:9" s="108" customFormat="1" ht="12">
      <c r="A883" s="101"/>
      <c r="B883" s="109"/>
      <c r="C883" s="148">
        <f>SUM(C875:C882)</f>
        <v>132.39999999999998</v>
      </c>
      <c r="D883" s="148"/>
      <c r="E883" s="149"/>
      <c r="F883" s="149"/>
      <c r="G883" s="111"/>
      <c r="H883" s="107"/>
      <c r="I883" s="107"/>
    </row>
    <row r="884" spans="1:9" s="108" customFormat="1" ht="12">
      <c r="A884" s="101" t="s">
        <v>816</v>
      </c>
      <c r="B884" s="109" t="s">
        <v>817</v>
      </c>
      <c r="C884" s="148" t="s">
        <v>818</v>
      </c>
      <c r="D884" s="148" t="s">
        <v>93</v>
      </c>
      <c r="E884" s="149">
        <v>55</v>
      </c>
      <c r="F884" s="149">
        <v>0</v>
      </c>
      <c r="G884" s="111">
        <f>E884*F884</f>
        <v>0</v>
      </c>
      <c r="H884" s="107"/>
      <c r="I884" s="107"/>
    </row>
    <row r="885" spans="1:9" s="108" customFormat="1" ht="12">
      <c r="A885" s="101"/>
      <c r="B885" s="112" t="s">
        <v>308</v>
      </c>
      <c r="C885" s="148"/>
      <c r="D885" s="148"/>
      <c r="E885" s="149"/>
      <c r="F885" s="149"/>
      <c r="G885" s="111"/>
      <c r="H885" s="107"/>
      <c r="I885" s="107"/>
    </row>
    <row r="886" spans="1:9" s="108" customFormat="1" ht="12">
      <c r="A886" s="101"/>
      <c r="B886" s="373" t="s">
        <v>819</v>
      </c>
      <c r="C886" s="148">
        <f>5.2+4.2</f>
        <v>9.4</v>
      </c>
      <c r="D886" s="148"/>
      <c r="E886" s="149"/>
      <c r="F886" s="149"/>
      <c r="G886" s="111"/>
      <c r="H886" s="107"/>
      <c r="I886" s="107"/>
    </row>
    <row r="887" spans="1:9" s="108" customFormat="1" ht="12">
      <c r="A887" s="101"/>
      <c r="B887" s="112" t="s">
        <v>97</v>
      </c>
      <c r="C887" s="148"/>
      <c r="D887" s="148"/>
      <c r="E887" s="149"/>
      <c r="F887" s="149"/>
      <c r="G887" s="111"/>
      <c r="H887" s="107"/>
      <c r="I887" s="107"/>
    </row>
    <row r="888" spans="1:9" s="108" customFormat="1" ht="12">
      <c r="A888" s="101"/>
      <c r="B888" s="112" t="s">
        <v>310</v>
      </c>
      <c r="C888" s="148">
        <f>5.4+5.8+4.3+2.3+4.5</f>
        <v>22.3</v>
      </c>
      <c r="D888" s="148"/>
      <c r="E888" s="149"/>
      <c r="F888" s="149"/>
      <c r="G888" s="111"/>
      <c r="H888" s="107"/>
      <c r="I888" s="107"/>
    </row>
    <row r="889" spans="1:9" s="108" customFormat="1" ht="12">
      <c r="A889" s="101"/>
      <c r="B889" s="112" t="s">
        <v>311</v>
      </c>
      <c r="C889" s="148"/>
      <c r="D889" s="148"/>
      <c r="E889" s="149"/>
      <c r="F889" s="149"/>
      <c r="G889" s="111"/>
      <c r="H889" s="107"/>
      <c r="I889" s="107"/>
    </row>
    <row r="890" spans="1:9" s="108" customFormat="1" ht="12">
      <c r="A890" s="101"/>
      <c r="B890" s="112" t="s">
        <v>99</v>
      </c>
      <c r="C890" s="148"/>
      <c r="D890" s="148"/>
      <c r="E890" s="149"/>
      <c r="F890" s="149"/>
      <c r="G890" s="111"/>
      <c r="H890" s="107"/>
      <c r="I890" s="107"/>
    </row>
    <row r="891" spans="1:9" s="108" customFormat="1" ht="12">
      <c r="A891" s="101"/>
      <c r="B891" s="112" t="s">
        <v>312</v>
      </c>
      <c r="C891" s="148">
        <f>3.1+3.4+3+4.2+3.9</f>
        <v>17.599999999999998</v>
      </c>
      <c r="D891" s="148"/>
      <c r="E891" s="149"/>
      <c r="F891" s="149"/>
      <c r="G891" s="111"/>
      <c r="H891" s="107"/>
      <c r="I891" s="107"/>
    </row>
    <row r="892" spans="1:9" s="108" customFormat="1" ht="12">
      <c r="A892" s="101"/>
      <c r="B892" s="112" t="s">
        <v>313</v>
      </c>
      <c r="C892" s="148">
        <f>1.3+1.3</f>
        <v>2.6</v>
      </c>
      <c r="D892" s="148"/>
      <c r="E892" s="149"/>
      <c r="F892" s="149"/>
      <c r="G892" s="111"/>
      <c r="H892" s="107"/>
      <c r="I892" s="107"/>
    </row>
    <row r="893" spans="1:9" s="108" customFormat="1" ht="12">
      <c r="A893" s="101"/>
      <c r="B893" s="374">
        <v>41334</v>
      </c>
      <c r="C893" s="148">
        <f>3.1</f>
        <v>3.1</v>
      </c>
      <c r="D893" s="148"/>
      <c r="E893" s="149"/>
      <c r="F893" s="149"/>
      <c r="G893" s="111"/>
      <c r="H893" s="107"/>
      <c r="I893" s="107"/>
    </row>
    <row r="894" spans="1:9" s="108" customFormat="1" ht="12">
      <c r="A894" s="101"/>
      <c r="B894" s="109"/>
      <c r="C894" s="148">
        <f>SUM(C886:C893)</f>
        <v>55</v>
      </c>
      <c r="D894" s="148"/>
      <c r="E894" s="149"/>
      <c r="F894" s="149"/>
      <c r="G894" s="111"/>
      <c r="H894" s="107"/>
      <c r="I894" s="107"/>
    </row>
    <row r="895" spans="1:9" s="108" customFormat="1" ht="12">
      <c r="A895" s="101" t="s">
        <v>820</v>
      </c>
      <c r="B895" s="101" t="s">
        <v>821</v>
      </c>
      <c r="C895" s="105" t="s">
        <v>822</v>
      </c>
      <c r="D895" s="104" t="s">
        <v>93</v>
      </c>
      <c r="E895" s="242">
        <v>2.6</v>
      </c>
      <c r="F895" s="110">
        <v>0</v>
      </c>
      <c r="G895" s="199">
        <f>PRODUCT(E895:F895)</f>
        <v>0</v>
      </c>
      <c r="H895" s="107"/>
      <c r="I895" s="107"/>
    </row>
    <row r="896" spans="1:9" s="108" customFormat="1" ht="12">
      <c r="A896" s="101"/>
      <c r="B896" s="106" t="s">
        <v>726</v>
      </c>
      <c r="C896" s="101">
        <f>1.3+1.3</f>
        <v>2.6</v>
      </c>
      <c r="D896" s="104"/>
      <c r="E896" s="242"/>
      <c r="F896" s="110"/>
      <c r="G896" s="199"/>
      <c r="H896" s="107"/>
      <c r="I896" s="107"/>
    </row>
    <row r="897" spans="1:9" s="159" customFormat="1" ht="12">
      <c r="A897" s="101" t="s">
        <v>823</v>
      </c>
      <c r="B897" s="109" t="s">
        <v>824</v>
      </c>
      <c r="C897" s="148" t="s">
        <v>825</v>
      </c>
      <c r="D897" s="148" t="s">
        <v>157</v>
      </c>
      <c r="E897" s="149">
        <v>86.62</v>
      </c>
      <c r="F897" s="149">
        <v>0</v>
      </c>
      <c r="G897" s="111">
        <f>PRODUCT(F897*E897)</f>
        <v>0</v>
      </c>
      <c r="H897" s="158"/>
      <c r="I897" s="158"/>
    </row>
    <row r="898" spans="1:9" s="159" customFormat="1" ht="12">
      <c r="A898" s="152"/>
      <c r="B898" s="375" t="s">
        <v>158</v>
      </c>
      <c r="C898" s="155">
        <f>(1.1+0.15+0.35+0.37+0.6+0.6+0.55+2.54+0.3+0.3+1.2+0.2+0.1+0.5+0.98)</f>
        <v>9.84</v>
      </c>
      <c r="D898" s="155"/>
      <c r="E898" s="156"/>
      <c r="F898" s="156"/>
      <c r="G898" s="157"/>
      <c r="H898" s="158"/>
      <c r="I898" s="158"/>
    </row>
    <row r="899" spans="1:9" s="159" customFormat="1" ht="12">
      <c r="A899" s="152"/>
      <c r="B899" s="375"/>
      <c r="C899" s="155">
        <f>(1.1+5.4+4+4.6+1.8+5.89+7.6+0.35+0.1+2.15+1.5+4.8+2.75+0.3+0.35)</f>
        <v>42.69</v>
      </c>
      <c r="D899" s="155"/>
      <c r="E899" s="156"/>
      <c r="F899" s="156"/>
      <c r="G899" s="157"/>
      <c r="H899" s="158"/>
      <c r="I899" s="158"/>
    </row>
    <row r="900" spans="1:9" s="159" customFormat="1" ht="12">
      <c r="A900" s="152"/>
      <c r="B900" s="375"/>
      <c r="C900" s="155">
        <f>(1.8+0.45+0.45+1.3+0.45+2.9+1.6+0.35+3+1.85+0.75+1.4+0.6+0.6+0.6+0.2+0.35)</f>
        <v>18.650000000000002</v>
      </c>
      <c r="D900" s="155"/>
      <c r="E900" s="156"/>
      <c r="F900" s="156"/>
      <c r="G900" s="157"/>
      <c r="H900" s="158"/>
      <c r="I900" s="158"/>
    </row>
    <row r="901" spans="1:9" s="108" customFormat="1" ht="12">
      <c r="A901" s="152"/>
      <c r="B901" s="375" t="s">
        <v>215</v>
      </c>
      <c r="C901" s="155">
        <f>(4.32+2.9)*2</f>
        <v>14.440000000000001</v>
      </c>
      <c r="D901" s="155"/>
      <c r="E901" s="156"/>
      <c r="F901" s="156"/>
      <c r="G901" s="157"/>
      <c r="H901" s="107"/>
      <c r="I901" s="107"/>
    </row>
    <row r="902" spans="1:9" s="108" customFormat="1" ht="12">
      <c r="A902" s="101"/>
      <c r="B902" s="109"/>
      <c r="C902" s="148">
        <f>SUM(C898:C901)</f>
        <v>85.62</v>
      </c>
      <c r="D902" s="148"/>
      <c r="E902" s="149"/>
      <c r="F902" s="149"/>
      <c r="G902" s="111"/>
      <c r="H902" s="107"/>
      <c r="I902" s="107"/>
    </row>
    <row r="903" spans="1:9" s="108" customFormat="1" ht="12">
      <c r="A903" s="101" t="s">
        <v>826</v>
      </c>
      <c r="B903" s="109" t="s">
        <v>827</v>
      </c>
      <c r="C903" s="148" t="s">
        <v>828</v>
      </c>
      <c r="D903" s="148" t="s">
        <v>93</v>
      </c>
      <c r="E903" s="149">
        <v>132.4</v>
      </c>
      <c r="F903" s="149">
        <v>0</v>
      </c>
      <c r="G903" s="111">
        <f>E903*F903</f>
        <v>0</v>
      </c>
      <c r="H903" s="107"/>
      <c r="I903" s="107"/>
    </row>
    <row r="904" spans="1:9" s="108" customFormat="1" ht="12">
      <c r="A904" s="101"/>
      <c r="B904" s="112" t="s">
        <v>308</v>
      </c>
      <c r="C904" s="148"/>
      <c r="D904" s="148"/>
      <c r="E904" s="149"/>
      <c r="F904" s="149"/>
      <c r="G904" s="111"/>
      <c r="H904" s="107"/>
      <c r="I904" s="107"/>
    </row>
    <row r="905" spans="1:9" s="108" customFormat="1" ht="12">
      <c r="A905" s="101"/>
      <c r="B905" s="112" t="s">
        <v>829</v>
      </c>
      <c r="C905" s="148">
        <f>54+5.2+4.2+12.5</f>
        <v>75.9</v>
      </c>
      <c r="D905" s="148"/>
      <c r="E905" s="149"/>
      <c r="F905" s="149"/>
      <c r="G905" s="111"/>
      <c r="H905" s="107"/>
      <c r="I905" s="107"/>
    </row>
    <row r="906" spans="1:9" s="108" customFormat="1" ht="12">
      <c r="A906" s="101"/>
      <c r="B906" s="112" t="s">
        <v>97</v>
      </c>
      <c r="C906" s="148"/>
      <c r="D906" s="148"/>
      <c r="E906" s="149"/>
      <c r="F906" s="149"/>
      <c r="G906" s="111"/>
      <c r="H906" s="107"/>
      <c r="I906" s="107"/>
    </row>
    <row r="907" spans="1:9" s="108" customFormat="1" ht="12">
      <c r="A907" s="101"/>
      <c r="B907" s="112" t="s">
        <v>310</v>
      </c>
      <c r="C907" s="148">
        <f>5.4+5.8+4.3+2.3+4.5</f>
        <v>22.3</v>
      </c>
      <c r="D907" s="148"/>
      <c r="E907" s="149"/>
      <c r="F907" s="149"/>
      <c r="G907" s="111"/>
      <c r="H907" s="107"/>
      <c r="I907" s="107"/>
    </row>
    <row r="908" spans="1:9" s="108" customFormat="1" ht="12">
      <c r="A908" s="101"/>
      <c r="B908" s="112" t="s">
        <v>311</v>
      </c>
      <c r="C908" s="148"/>
      <c r="D908" s="148"/>
      <c r="E908" s="149"/>
      <c r="F908" s="149"/>
      <c r="G908" s="111"/>
      <c r="H908" s="107"/>
      <c r="I908" s="107"/>
    </row>
    <row r="909" spans="1:9" s="108" customFormat="1" ht="12">
      <c r="A909" s="101"/>
      <c r="B909" s="112" t="s">
        <v>99</v>
      </c>
      <c r="C909" s="148"/>
      <c r="D909" s="148"/>
      <c r="E909" s="149"/>
      <c r="F909" s="149"/>
      <c r="G909" s="111"/>
      <c r="H909" s="107"/>
      <c r="I909" s="107"/>
    </row>
    <row r="910" spans="1:9" s="108" customFormat="1" ht="12">
      <c r="A910" s="101"/>
      <c r="B910" s="112" t="s">
        <v>312</v>
      </c>
      <c r="C910" s="148">
        <f>3.1+3.4+3+4.2+3.9</f>
        <v>17.599999999999998</v>
      </c>
      <c r="D910" s="148"/>
      <c r="E910" s="149"/>
      <c r="F910" s="149"/>
      <c r="G910" s="111"/>
      <c r="H910" s="107"/>
      <c r="I910" s="107"/>
    </row>
    <row r="911" spans="1:9" s="108" customFormat="1" ht="12">
      <c r="A911" s="101"/>
      <c r="B911" s="112" t="s">
        <v>313</v>
      </c>
      <c r="C911" s="148">
        <f>1.3+1.3</f>
        <v>2.6</v>
      </c>
      <c r="D911" s="148"/>
      <c r="E911" s="149"/>
      <c r="F911" s="149"/>
      <c r="G911" s="111"/>
      <c r="H911" s="107"/>
      <c r="I911" s="107"/>
    </row>
    <row r="912" spans="1:9" s="108" customFormat="1" ht="12">
      <c r="A912" s="101"/>
      <c r="B912" s="112" t="s">
        <v>314</v>
      </c>
      <c r="C912" s="148">
        <f>3.1+10.9</f>
        <v>14</v>
      </c>
      <c r="D912" s="148"/>
      <c r="E912" s="149"/>
      <c r="F912" s="149"/>
      <c r="G912" s="111"/>
      <c r="H912" s="107"/>
      <c r="I912" s="107"/>
    </row>
    <row r="913" spans="1:9" s="108" customFormat="1" ht="12">
      <c r="A913" s="101"/>
      <c r="B913" s="109"/>
      <c r="C913" s="148">
        <f>SUM(C905:C912)</f>
        <v>132.39999999999998</v>
      </c>
      <c r="D913" s="148"/>
      <c r="E913" s="149"/>
      <c r="F913" s="149"/>
      <c r="G913" s="111"/>
      <c r="H913" s="107"/>
      <c r="I913" s="107"/>
    </row>
    <row r="914" spans="1:7" ht="12">
      <c r="A914" s="101" t="s">
        <v>830</v>
      </c>
      <c r="B914" s="109" t="s">
        <v>831</v>
      </c>
      <c r="C914" s="148" t="s">
        <v>832</v>
      </c>
      <c r="D914" s="148" t="s">
        <v>157</v>
      </c>
      <c r="E914" s="110">
        <v>29</v>
      </c>
      <c r="F914" s="149">
        <v>0</v>
      </c>
      <c r="G914" s="111">
        <f>E914*F914</f>
        <v>0</v>
      </c>
    </row>
    <row r="915" spans="1:9" s="108" customFormat="1" ht="12">
      <c r="A915" s="113"/>
      <c r="B915" s="376"/>
      <c r="C915" s="377"/>
      <c r="D915" s="377"/>
      <c r="E915" s="378"/>
      <c r="F915" s="379"/>
      <c r="G915" s="380"/>
      <c r="H915" s="107"/>
      <c r="I915" s="107"/>
    </row>
    <row r="916" spans="1:9" s="108" customFormat="1" ht="12">
      <c r="A916" s="101" t="s">
        <v>833</v>
      </c>
      <c r="B916" s="226" t="s">
        <v>834</v>
      </c>
      <c r="C916" s="187" t="s">
        <v>835</v>
      </c>
      <c r="D916" s="187" t="s">
        <v>93</v>
      </c>
      <c r="E916" s="188">
        <v>155.17</v>
      </c>
      <c r="F916" s="188">
        <v>0</v>
      </c>
      <c r="G916" s="227">
        <f>PRODUCT(F916*E916)</f>
        <v>0</v>
      </c>
      <c r="H916" s="107"/>
      <c r="I916" s="107"/>
    </row>
    <row r="917" spans="1:9" s="159" customFormat="1" ht="12">
      <c r="A917" s="101"/>
      <c r="B917" s="226"/>
      <c r="C917" s="226">
        <f>(132.4+86.62*0.1)*1.1</f>
        <v>155.1682</v>
      </c>
      <c r="D917" s="187"/>
      <c r="E917" s="188"/>
      <c r="F917" s="188"/>
      <c r="G917" s="227"/>
      <c r="H917" s="158"/>
      <c r="I917" s="158"/>
    </row>
    <row r="918" spans="1:9" s="108" customFormat="1" ht="12">
      <c r="A918" s="367" t="s">
        <v>836</v>
      </c>
      <c r="B918" s="361" t="s">
        <v>837</v>
      </c>
      <c r="C918" s="155" t="s">
        <v>838</v>
      </c>
      <c r="D918" s="195" t="s">
        <v>555</v>
      </c>
      <c r="E918" s="157">
        <f>SUM(G873:G917)/100</f>
        <v>0</v>
      </c>
      <c r="F918" s="163">
        <v>9</v>
      </c>
      <c r="G918" s="164">
        <f>E918*F918</f>
        <v>0</v>
      </c>
      <c r="H918" s="107"/>
      <c r="I918" s="107"/>
    </row>
    <row r="919" spans="1:9" s="108" customFormat="1" ht="12">
      <c r="A919" s="101" t="s">
        <v>839</v>
      </c>
      <c r="B919" s="369" t="s">
        <v>840</v>
      </c>
      <c r="C919" s="213" t="s">
        <v>841</v>
      </c>
      <c r="D919" s="213" t="s">
        <v>555</v>
      </c>
      <c r="E919" s="370">
        <f>SUM(G873:G917)/100</f>
        <v>0</v>
      </c>
      <c r="F919" s="370">
        <v>4</v>
      </c>
      <c r="G919" s="371">
        <f>ROUND(PRODUCT(E919*F919),0)</f>
        <v>0</v>
      </c>
      <c r="H919" s="107"/>
      <c r="I919" s="107"/>
    </row>
    <row r="920" spans="1:9" s="108" customFormat="1" ht="12">
      <c r="A920" s="124"/>
      <c r="B920" s="221"/>
      <c r="C920" s="126" t="s">
        <v>160</v>
      </c>
      <c r="D920" s="207"/>
      <c r="E920" s="208"/>
      <c r="F920" s="222"/>
      <c r="G920" s="372">
        <f>SUM(G873:G919)</f>
        <v>0</v>
      </c>
      <c r="H920" s="107"/>
      <c r="I920" s="107"/>
    </row>
    <row r="921" spans="1:9" s="108" customFormat="1" ht="12">
      <c r="A921" s="101"/>
      <c r="B921" s="102">
        <v>776</v>
      </c>
      <c r="C921" s="216" t="s">
        <v>32</v>
      </c>
      <c r="D921" s="217"/>
      <c r="E921" s="218"/>
      <c r="F921" s="218"/>
      <c r="G921" s="231"/>
      <c r="H921" s="107"/>
      <c r="I921" s="107"/>
    </row>
    <row r="922" spans="1:9" s="108" customFormat="1" ht="12">
      <c r="A922" s="101" t="s">
        <v>842</v>
      </c>
      <c r="B922" s="109" t="s">
        <v>843</v>
      </c>
      <c r="C922" s="148" t="s">
        <v>844</v>
      </c>
      <c r="D922" s="148" t="s">
        <v>93</v>
      </c>
      <c r="E922" s="149">
        <v>750.46</v>
      </c>
      <c r="F922" s="149">
        <v>0</v>
      </c>
      <c r="G922" s="111">
        <f>PRODUCT(F922*E922)</f>
        <v>0</v>
      </c>
      <c r="H922" s="107"/>
      <c r="I922" s="107"/>
    </row>
    <row r="923" spans="1:9" s="108" customFormat="1" ht="12">
      <c r="A923" s="101"/>
      <c r="B923" s="112" t="s">
        <v>406</v>
      </c>
      <c r="C923" s="148">
        <f>(20.7+28.4+32+2.6)</f>
        <v>83.69999999999999</v>
      </c>
      <c r="D923" s="148"/>
      <c r="E923" s="149"/>
      <c r="F923" s="149"/>
      <c r="G923" s="111"/>
      <c r="H923" s="107"/>
      <c r="I923" s="107"/>
    </row>
    <row r="924" spans="1:9" s="108" customFormat="1" ht="12">
      <c r="A924" s="101"/>
      <c r="B924" s="112" t="s">
        <v>128</v>
      </c>
      <c r="C924" s="148"/>
      <c r="D924" s="148"/>
      <c r="E924" s="149"/>
      <c r="F924" s="149"/>
      <c r="G924" s="111"/>
      <c r="H924" s="107"/>
      <c r="I924" s="107"/>
    </row>
    <row r="925" spans="1:9" s="108" customFormat="1" ht="12">
      <c r="A925" s="101"/>
      <c r="B925" s="239" t="s">
        <v>398</v>
      </c>
      <c r="C925" s="148">
        <f>52.3+27.2+25.7+19+24.1+11.2+19.4+17.9</f>
        <v>196.8</v>
      </c>
      <c r="D925" s="148"/>
      <c r="E925" s="149"/>
      <c r="F925" s="149"/>
      <c r="G925" s="111"/>
      <c r="H925" s="107"/>
      <c r="I925" s="107"/>
    </row>
    <row r="926" spans="1:9" s="108" customFormat="1" ht="12">
      <c r="A926" s="101"/>
      <c r="B926" s="239" t="s">
        <v>399</v>
      </c>
      <c r="C926" s="148">
        <f>22.8+8.7+13.3+72.8+2.6</f>
        <v>120.19999999999999</v>
      </c>
      <c r="D926" s="148"/>
      <c r="E926" s="149"/>
      <c r="F926" s="149"/>
      <c r="G926" s="111"/>
      <c r="H926" s="107"/>
      <c r="I926" s="107"/>
    </row>
    <row r="927" spans="1:9" s="108" customFormat="1" ht="12">
      <c r="A927" s="101"/>
      <c r="B927" s="239" t="s">
        <v>400</v>
      </c>
      <c r="C927" s="148"/>
      <c r="D927" s="148"/>
      <c r="E927" s="149"/>
      <c r="F927" s="149"/>
      <c r="G927" s="111"/>
      <c r="H927" s="107"/>
      <c r="I927" s="107"/>
    </row>
    <row r="928" spans="1:9" s="108" customFormat="1" ht="12">
      <c r="A928" s="101"/>
      <c r="B928" s="239" t="s">
        <v>401</v>
      </c>
      <c r="C928" s="148">
        <f>4.4+74.1+41.9+19.7+23.4+19.9+23.9+20.6+19.3+19.3+14.9</f>
        <v>281.4</v>
      </c>
      <c r="D928" s="148"/>
      <c r="E928" s="149"/>
      <c r="F928" s="149"/>
      <c r="G928" s="111"/>
      <c r="H928" s="107"/>
      <c r="I928" s="107"/>
    </row>
    <row r="929" spans="1:9" s="108" customFormat="1" ht="12">
      <c r="A929" s="101"/>
      <c r="B929" s="239" t="s">
        <v>402</v>
      </c>
      <c r="C929" s="148">
        <f>6.1+0.7</f>
        <v>6.8</v>
      </c>
      <c r="D929" s="148"/>
      <c r="E929" s="149"/>
      <c r="F929" s="149"/>
      <c r="G929" s="111"/>
      <c r="H929" s="107"/>
      <c r="I929" s="107"/>
    </row>
    <row r="930" spans="1:9" s="108" customFormat="1" ht="12">
      <c r="A930" s="101"/>
      <c r="B930" s="239" t="s">
        <v>375</v>
      </c>
      <c r="C930" s="148">
        <f>(3.2*1.5)+(3.2*1.75)+(1.455*3.2)+(3.4*1.3)+(1.55*0.45)</f>
        <v>20.173500000000004</v>
      </c>
      <c r="D930" s="148"/>
      <c r="E930" s="149"/>
      <c r="F930" s="149"/>
      <c r="G930" s="111"/>
      <c r="H930" s="107"/>
      <c r="I930" s="107"/>
    </row>
    <row r="931" spans="1:9" s="108" customFormat="1" ht="12">
      <c r="A931" s="101"/>
      <c r="B931" s="239" t="s">
        <v>374</v>
      </c>
      <c r="C931" s="148">
        <f>(82.77*0.5)</f>
        <v>41.385</v>
      </c>
      <c r="D931" s="148"/>
      <c r="E931" s="149"/>
      <c r="F931" s="149"/>
      <c r="G931" s="111"/>
      <c r="H931" s="107"/>
      <c r="I931" s="107"/>
    </row>
    <row r="932" spans="1:9" s="108" customFormat="1" ht="12">
      <c r="A932" s="101"/>
      <c r="B932" s="205"/>
      <c r="C932" s="148">
        <f>SUM(C923:C931)</f>
        <v>750.4584999999998</v>
      </c>
      <c r="D932" s="148"/>
      <c r="E932" s="149"/>
      <c r="F932" s="149"/>
      <c r="G932" s="111"/>
      <c r="H932" s="107"/>
      <c r="I932" s="107"/>
    </row>
    <row r="933" spans="1:9" s="108" customFormat="1" ht="12">
      <c r="A933" s="101" t="s">
        <v>845</v>
      </c>
      <c r="B933" s="109" t="s">
        <v>846</v>
      </c>
      <c r="C933" s="148" t="s">
        <v>847</v>
      </c>
      <c r="D933" s="148" t="s">
        <v>93</v>
      </c>
      <c r="E933" s="149">
        <v>750.46</v>
      </c>
      <c r="F933" s="149">
        <v>0</v>
      </c>
      <c r="G933" s="111">
        <f>PRODUCT(F933*E933)</f>
        <v>0</v>
      </c>
      <c r="H933" s="107"/>
      <c r="I933" s="107"/>
    </row>
    <row r="934" spans="1:9" s="108" customFormat="1" ht="12">
      <c r="A934" s="101"/>
      <c r="B934" s="112" t="s">
        <v>406</v>
      </c>
      <c r="C934" s="148">
        <f>(20.7+28.4+32+2.6)</f>
        <v>83.69999999999999</v>
      </c>
      <c r="D934" s="148"/>
      <c r="E934" s="149"/>
      <c r="F934" s="149"/>
      <c r="G934" s="111"/>
      <c r="H934" s="107"/>
      <c r="I934" s="107"/>
    </row>
    <row r="935" spans="1:9" s="108" customFormat="1" ht="12">
      <c r="A935" s="101"/>
      <c r="B935" s="112" t="s">
        <v>128</v>
      </c>
      <c r="C935" s="148"/>
      <c r="D935" s="148"/>
      <c r="E935" s="149"/>
      <c r="F935" s="149"/>
      <c r="G935" s="111"/>
      <c r="H935" s="107"/>
      <c r="I935" s="107"/>
    </row>
    <row r="936" spans="1:9" s="108" customFormat="1" ht="12">
      <c r="A936" s="101"/>
      <c r="B936" s="239" t="s">
        <v>398</v>
      </c>
      <c r="C936" s="148">
        <f>52.3+27.2+25.7+19+24.1+11.2+19.4+17.9</f>
        <v>196.8</v>
      </c>
      <c r="D936" s="148"/>
      <c r="E936" s="149"/>
      <c r="F936" s="149"/>
      <c r="G936" s="111"/>
      <c r="H936" s="107"/>
      <c r="I936" s="107"/>
    </row>
    <row r="937" spans="1:9" s="108" customFormat="1" ht="12">
      <c r="A937" s="101"/>
      <c r="B937" s="239" t="s">
        <v>399</v>
      </c>
      <c r="C937" s="148">
        <f>22.8+8.7+13.3+72.8+2.6</f>
        <v>120.19999999999999</v>
      </c>
      <c r="D937" s="148"/>
      <c r="E937" s="149"/>
      <c r="F937" s="149"/>
      <c r="G937" s="111"/>
      <c r="H937" s="107"/>
      <c r="I937" s="107"/>
    </row>
    <row r="938" spans="1:9" s="108" customFormat="1" ht="12">
      <c r="A938" s="101"/>
      <c r="B938" s="239" t="s">
        <v>400</v>
      </c>
      <c r="C938" s="148"/>
      <c r="D938" s="148"/>
      <c r="E938" s="149"/>
      <c r="F938" s="149"/>
      <c r="G938" s="111"/>
      <c r="H938" s="107"/>
      <c r="I938" s="107"/>
    </row>
    <row r="939" spans="1:9" s="108" customFormat="1" ht="12">
      <c r="A939" s="101"/>
      <c r="B939" s="239" t="s">
        <v>401</v>
      </c>
      <c r="C939" s="148">
        <f>4.4+74.1+41.9+19.7+23.4+19.9+23.9+20.6+19.3+19.3+14.9</f>
        <v>281.4</v>
      </c>
      <c r="D939" s="148"/>
      <c r="E939" s="149"/>
      <c r="F939" s="149"/>
      <c r="G939" s="111"/>
      <c r="H939" s="107"/>
      <c r="I939" s="107"/>
    </row>
    <row r="940" spans="1:9" s="108" customFormat="1" ht="12">
      <c r="A940" s="101"/>
      <c r="B940" s="239" t="s">
        <v>402</v>
      </c>
      <c r="C940" s="148">
        <f>6.1+0.7</f>
        <v>6.8</v>
      </c>
      <c r="D940" s="148"/>
      <c r="E940" s="149"/>
      <c r="F940" s="149"/>
      <c r="G940" s="111"/>
      <c r="H940" s="107"/>
      <c r="I940" s="107"/>
    </row>
    <row r="941" spans="1:9" s="108" customFormat="1" ht="12">
      <c r="A941" s="101"/>
      <c r="B941" s="239" t="s">
        <v>375</v>
      </c>
      <c r="C941" s="148">
        <f>(3.2*1.5)+(3.2*1.75)+(1.455*3.2)+(3.4*1.3)+(1.55*0.45)</f>
        <v>20.173500000000004</v>
      </c>
      <c r="D941" s="148"/>
      <c r="E941" s="149"/>
      <c r="F941" s="149"/>
      <c r="G941" s="111"/>
      <c r="H941" s="107"/>
      <c r="I941" s="107"/>
    </row>
    <row r="942" spans="1:9" s="108" customFormat="1" ht="12">
      <c r="A942" s="101"/>
      <c r="B942" s="239" t="s">
        <v>374</v>
      </c>
      <c r="C942" s="148">
        <f>(82.77*0.5)</f>
        <v>41.385</v>
      </c>
      <c r="D942" s="148"/>
      <c r="E942" s="149"/>
      <c r="F942" s="149"/>
      <c r="G942" s="111"/>
      <c r="H942" s="107"/>
      <c r="I942" s="107"/>
    </row>
    <row r="943" spans="1:9" s="108" customFormat="1" ht="12">
      <c r="A943" s="101"/>
      <c r="B943" s="205"/>
      <c r="C943" s="148">
        <f>SUM(C934:C942)</f>
        <v>750.4584999999998</v>
      </c>
      <c r="D943" s="148"/>
      <c r="E943" s="149"/>
      <c r="F943" s="149"/>
      <c r="G943" s="111"/>
      <c r="H943" s="107"/>
      <c r="I943" s="107"/>
    </row>
    <row r="944" spans="1:9" s="108" customFormat="1" ht="12">
      <c r="A944" s="101" t="s">
        <v>848</v>
      </c>
      <c r="B944" s="101" t="s">
        <v>849</v>
      </c>
      <c r="C944" s="105" t="s">
        <v>850</v>
      </c>
      <c r="D944" s="104" t="s">
        <v>157</v>
      </c>
      <c r="E944" s="242">
        <v>82.77</v>
      </c>
      <c r="F944" s="110">
        <v>0</v>
      </c>
      <c r="G944" s="199">
        <f>PRODUCT(E944:F944)</f>
        <v>0</v>
      </c>
      <c r="H944" s="107"/>
      <c r="I944" s="107"/>
    </row>
    <row r="945" spans="1:9" s="108" customFormat="1" ht="12">
      <c r="A945" s="101"/>
      <c r="B945" s="241" t="s">
        <v>393</v>
      </c>
      <c r="C945" s="105">
        <f>(1.325*49)</f>
        <v>64.925</v>
      </c>
      <c r="D945" s="104"/>
      <c r="E945" s="242"/>
      <c r="F945" s="110"/>
      <c r="G945" s="199"/>
      <c r="H945" s="107"/>
      <c r="I945" s="107"/>
    </row>
    <row r="946" spans="1:9" s="108" customFormat="1" ht="12">
      <c r="A946" s="101"/>
      <c r="B946" s="239" t="s">
        <v>122</v>
      </c>
      <c r="C946" s="148">
        <f>1.8*4</f>
        <v>7.2</v>
      </c>
      <c r="D946" s="148"/>
      <c r="E946" s="149"/>
      <c r="F946" s="149"/>
      <c r="G946" s="111"/>
      <c r="H946" s="107"/>
      <c r="I946" s="107"/>
    </row>
    <row r="947" spans="1:9" s="108" customFormat="1" ht="12">
      <c r="A947" s="101"/>
      <c r="B947" s="239" t="s">
        <v>222</v>
      </c>
      <c r="C947" s="148">
        <f>1.65*5</f>
        <v>8.25</v>
      </c>
      <c r="D947" s="148"/>
      <c r="E947" s="149"/>
      <c r="F947" s="149"/>
      <c r="G947" s="111"/>
      <c r="H947" s="107"/>
      <c r="I947" s="107"/>
    </row>
    <row r="948" spans="1:9" s="108" customFormat="1" ht="12">
      <c r="A948" s="101"/>
      <c r="B948" s="239" t="s">
        <v>223</v>
      </c>
      <c r="C948" s="148">
        <f>1.195*2</f>
        <v>2.39</v>
      </c>
      <c r="D948" s="148"/>
      <c r="E948" s="149"/>
      <c r="F948" s="149"/>
      <c r="G948" s="111"/>
      <c r="H948" s="107"/>
      <c r="I948" s="107"/>
    </row>
    <row r="949" spans="1:9" s="108" customFormat="1" ht="12">
      <c r="A949" s="101"/>
      <c r="B949" s="205"/>
      <c r="C949" s="148">
        <f>SUM(C945:C948)</f>
        <v>82.765</v>
      </c>
      <c r="D949" s="148"/>
      <c r="E949" s="149"/>
      <c r="F949" s="149"/>
      <c r="G949" s="111"/>
      <c r="H949" s="107"/>
      <c r="I949" s="107"/>
    </row>
    <row r="950" spans="1:9" s="108" customFormat="1" ht="12">
      <c r="A950" s="101" t="s">
        <v>851</v>
      </c>
      <c r="B950" s="101" t="s">
        <v>852</v>
      </c>
      <c r="C950" s="105" t="s">
        <v>853</v>
      </c>
      <c r="D950" s="104" t="s">
        <v>157</v>
      </c>
      <c r="E950" s="242">
        <v>82.77</v>
      </c>
      <c r="F950" s="110">
        <v>0</v>
      </c>
      <c r="G950" s="199">
        <f>PRODUCT(E950:F950)</f>
        <v>0</v>
      </c>
      <c r="H950" s="107"/>
      <c r="I950" s="107"/>
    </row>
    <row r="951" spans="1:9" s="108" customFormat="1" ht="12">
      <c r="A951" s="101"/>
      <c r="B951" s="241" t="s">
        <v>393</v>
      </c>
      <c r="C951" s="105">
        <f>(1.325*49)</f>
        <v>64.925</v>
      </c>
      <c r="D951" s="104"/>
      <c r="E951" s="242"/>
      <c r="F951" s="110"/>
      <c r="G951" s="199"/>
      <c r="H951" s="107"/>
      <c r="I951" s="107"/>
    </row>
    <row r="952" spans="1:9" s="108" customFormat="1" ht="12">
      <c r="A952" s="101"/>
      <c r="B952" s="239" t="s">
        <v>122</v>
      </c>
      <c r="C952" s="148">
        <f>1.8*4</f>
        <v>7.2</v>
      </c>
      <c r="D952" s="148"/>
      <c r="E952" s="149"/>
      <c r="F952" s="149"/>
      <c r="G952" s="111"/>
      <c r="H952" s="107"/>
      <c r="I952" s="107"/>
    </row>
    <row r="953" spans="1:9" s="108" customFormat="1" ht="12">
      <c r="A953" s="101"/>
      <c r="B953" s="239" t="s">
        <v>222</v>
      </c>
      <c r="C953" s="148">
        <f>1.65*5</f>
        <v>8.25</v>
      </c>
      <c r="D953" s="148"/>
      <c r="E953" s="149"/>
      <c r="F953" s="149"/>
      <c r="G953" s="111"/>
      <c r="H953" s="107"/>
      <c r="I953" s="107"/>
    </row>
    <row r="954" spans="1:9" s="108" customFormat="1" ht="12">
      <c r="A954" s="101"/>
      <c r="B954" s="239" t="s">
        <v>223</v>
      </c>
      <c r="C954" s="148">
        <f>1.195*2</f>
        <v>2.39</v>
      </c>
      <c r="D954" s="148"/>
      <c r="E954" s="149"/>
      <c r="F954" s="149"/>
      <c r="G954" s="111"/>
      <c r="H954" s="107"/>
      <c r="I954" s="107"/>
    </row>
    <row r="955" spans="1:9" s="108" customFormat="1" ht="12">
      <c r="A955" s="101"/>
      <c r="B955" s="205"/>
      <c r="C955" s="148">
        <f>SUM(C951:C954)</f>
        <v>82.765</v>
      </c>
      <c r="D955" s="148"/>
      <c r="E955" s="149"/>
      <c r="F955" s="149"/>
      <c r="G955" s="111"/>
      <c r="H955" s="107"/>
      <c r="I955" s="107"/>
    </row>
    <row r="956" spans="1:9" s="108" customFormat="1" ht="12">
      <c r="A956" s="101" t="s">
        <v>854</v>
      </c>
      <c r="B956" s="101" t="s">
        <v>855</v>
      </c>
      <c r="C956" s="105" t="s">
        <v>856</v>
      </c>
      <c r="D956" s="104" t="s">
        <v>157</v>
      </c>
      <c r="E956" s="242">
        <v>82.77</v>
      </c>
      <c r="F956" s="110">
        <v>0</v>
      </c>
      <c r="G956" s="199">
        <f>PRODUCT(E956:F956)</f>
        <v>0</v>
      </c>
      <c r="H956" s="107"/>
      <c r="I956" s="107"/>
    </row>
    <row r="957" spans="1:9" s="108" customFormat="1" ht="12">
      <c r="A957" s="101"/>
      <c r="B957" s="101"/>
      <c r="C957" s="105" t="s">
        <v>857</v>
      </c>
      <c r="D957" s="104"/>
      <c r="E957" s="242"/>
      <c r="F957" s="110"/>
      <c r="G957" s="199"/>
      <c r="H957" s="107"/>
      <c r="I957" s="107"/>
    </row>
    <row r="958" spans="1:9" s="108" customFormat="1" ht="12">
      <c r="A958" s="101"/>
      <c r="B958" s="205"/>
      <c r="C958" s="148"/>
      <c r="D958" s="148"/>
      <c r="E958" s="149"/>
      <c r="F958" s="149"/>
      <c r="G958" s="111"/>
      <c r="H958" s="107"/>
      <c r="I958" s="107"/>
    </row>
    <row r="959" spans="1:9" s="108" customFormat="1" ht="12">
      <c r="A959" s="101" t="s">
        <v>858</v>
      </c>
      <c r="B959" s="109" t="s">
        <v>859</v>
      </c>
      <c r="C959" s="148" t="s">
        <v>860</v>
      </c>
      <c r="D959" s="148" t="s">
        <v>93</v>
      </c>
      <c r="E959" s="149">
        <v>729.07</v>
      </c>
      <c r="F959" s="149">
        <v>0</v>
      </c>
      <c r="G959" s="111">
        <f>PRODUCT(F959*E959)</f>
        <v>0</v>
      </c>
      <c r="H959" s="107"/>
      <c r="I959" s="107"/>
    </row>
    <row r="960" spans="1:9" s="108" customFormat="1" ht="12">
      <c r="A960" s="101"/>
      <c r="B960" s="112" t="s">
        <v>406</v>
      </c>
      <c r="C960" s="148">
        <f>(20.7+28.4+32+2.6)</f>
        <v>83.69999999999999</v>
      </c>
      <c r="D960" s="148"/>
      <c r="E960" s="149"/>
      <c r="F960" s="149"/>
      <c r="G960" s="111"/>
      <c r="H960" s="107"/>
      <c r="I960" s="107"/>
    </row>
    <row r="961" spans="1:9" s="108" customFormat="1" ht="12">
      <c r="A961" s="101"/>
      <c r="B961" s="112" t="s">
        <v>128</v>
      </c>
      <c r="C961" s="148"/>
      <c r="D961" s="148"/>
      <c r="E961" s="149"/>
      <c r="F961" s="149"/>
      <c r="G961" s="111"/>
      <c r="H961" s="107"/>
      <c r="I961" s="107"/>
    </row>
    <row r="962" spans="1:9" s="108" customFormat="1" ht="12">
      <c r="A962" s="101"/>
      <c r="B962" s="239" t="s">
        <v>398</v>
      </c>
      <c r="C962" s="148">
        <f>52.3+27.2+25.7+19+24.1+11.2+19.4+20+17.9</f>
        <v>216.8</v>
      </c>
      <c r="D962" s="148"/>
      <c r="E962" s="149"/>
      <c r="F962" s="149"/>
      <c r="G962" s="111"/>
      <c r="H962" s="107"/>
      <c r="I962" s="107"/>
    </row>
    <row r="963" spans="1:9" s="108" customFormat="1" ht="12">
      <c r="A963" s="101"/>
      <c r="B963" s="239" t="s">
        <v>399</v>
      </c>
      <c r="C963" s="148">
        <f>22.8+8.7+13.3+72.8+2.6</f>
        <v>120.19999999999999</v>
      </c>
      <c r="D963" s="148"/>
      <c r="E963" s="149"/>
      <c r="F963" s="149"/>
      <c r="G963" s="111"/>
      <c r="H963" s="107"/>
      <c r="I963" s="107"/>
    </row>
    <row r="964" spans="1:9" s="108" customFormat="1" ht="12">
      <c r="A964" s="101"/>
      <c r="B964" s="239" t="s">
        <v>400</v>
      </c>
      <c r="C964" s="148"/>
      <c r="D964" s="148"/>
      <c r="E964" s="149"/>
      <c r="F964" s="149"/>
      <c r="G964" s="111"/>
      <c r="H964" s="107"/>
      <c r="I964" s="107"/>
    </row>
    <row r="965" spans="1:9" s="108" customFormat="1" ht="12">
      <c r="A965" s="101"/>
      <c r="B965" s="239" t="s">
        <v>401</v>
      </c>
      <c r="C965" s="148">
        <f>4.4+74.1+41.9+19.7+23.4+19.9+23.9+20.6+19.3+19.3+14.9</f>
        <v>281.4</v>
      </c>
      <c r="D965" s="148"/>
      <c r="E965" s="149"/>
      <c r="F965" s="149"/>
      <c r="G965" s="111"/>
      <c r="H965" s="107"/>
      <c r="I965" s="107"/>
    </row>
    <row r="966" spans="1:9" s="108" customFormat="1" ht="12">
      <c r="A966" s="101"/>
      <c r="B966" s="239" t="s">
        <v>402</v>
      </c>
      <c r="C966" s="148">
        <f>6.1+0.7</f>
        <v>6.8</v>
      </c>
      <c r="D966" s="148"/>
      <c r="E966" s="149"/>
      <c r="F966" s="149"/>
      <c r="G966" s="111"/>
      <c r="H966" s="107"/>
      <c r="I966" s="107"/>
    </row>
    <row r="967" spans="1:9" s="108" customFormat="1" ht="12">
      <c r="A967" s="101"/>
      <c r="B967" s="239" t="s">
        <v>375</v>
      </c>
      <c r="C967" s="148">
        <f>(3.2*1.5)+(3.2*1.75)+(1.455*3.2)+(3.4*1.3)+(1.55*0.45)</f>
        <v>20.173500000000004</v>
      </c>
      <c r="D967" s="148"/>
      <c r="E967" s="149"/>
      <c r="F967" s="149"/>
      <c r="G967" s="111"/>
      <c r="H967" s="107"/>
      <c r="I967" s="107"/>
    </row>
    <row r="968" spans="1:9" s="108" customFormat="1" ht="12.75" customHeight="1">
      <c r="A968" s="101"/>
      <c r="B968" s="205"/>
      <c r="C968" s="148">
        <f>SUM(C960:C967)</f>
        <v>729.0734999999999</v>
      </c>
      <c r="D968" s="148"/>
      <c r="E968" s="149"/>
      <c r="F968" s="149"/>
      <c r="G968" s="111"/>
      <c r="H968" s="107"/>
      <c r="I968" s="107"/>
    </row>
    <row r="969" spans="1:9" s="108" customFormat="1" ht="12">
      <c r="A969" s="101"/>
      <c r="B969" s="101"/>
      <c r="C969" s="105"/>
      <c r="D969" s="104"/>
      <c r="E969" s="242"/>
      <c r="F969" s="110"/>
      <c r="G969" s="199"/>
      <c r="H969" s="107"/>
      <c r="I969" s="107"/>
    </row>
    <row r="970" spans="1:9" s="108" customFormat="1" ht="12">
      <c r="A970" s="101"/>
      <c r="B970" s="101"/>
      <c r="C970" s="101"/>
      <c r="D970" s="104"/>
      <c r="E970" s="242"/>
      <c r="F970" s="110"/>
      <c r="G970" s="199"/>
      <c r="H970" s="107"/>
      <c r="I970" s="107"/>
    </row>
    <row r="971" spans="1:9" s="108" customFormat="1" ht="12">
      <c r="A971" s="101" t="s">
        <v>861</v>
      </c>
      <c r="B971" s="109" t="s">
        <v>862</v>
      </c>
      <c r="C971" s="148" t="s">
        <v>863</v>
      </c>
      <c r="D971" s="148" t="s">
        <v>157</v>
      </c>
      <c r="E971" s="149">
        <v>660.14</v>
      </c>
      <c r="F971" s="149">
        <v>0</v>
      </c>
      <c r="G971" s="111">
        <f>PRODUCT(F971*E971)</f>
        <v>0</v>
      </c>
      <c r="H971" s="107"/>
      <c r="I971" s="107"/>
    </row>
    <row r="972" spans="1:9" s="108" customFormat="1" ht="12">
      <c r="A972" s="101"/>
      <c r="B972" s="112" t="s">
        <v>406</v>
      </c>
      <c r="C972" s="148">
        <f>(5.915+3.72)*2+(6.05+5.3)*2+(7.15+5.5)*2</f>
        <v>67.27</v>
      </c>
      <c r="D972" s="148"/>
      <c r="E972" s="149"/>
      <c r="F972" s="149"/>
      <c r="G972" s="111"/>
      <c r="H972" s="107"/>
      <c r="I972" s="107"/>
    </row>
    <row r="973" spans="1:9" s="108" customFormat="1" ht="12">
      <c r="A973" s="101"/>
      <c r="B973" s="112" t="s">
        <v>128</v>
      </c>
      <c r="C973" s="148">
        <f>(2.16+1.325)*2</f>
        <v>6.970000000000001</v>
      </c>
      <c r="D973" s="148"/>
      <c r="E973" s="149"/>
      <c r="F973" s="149"/>
      <c r="G973" s="111"/>
      <c r="H973" s="107"/>
      <c r="I973" s="107"/>
    </row>
    <row r="974" spans="1:9" s="108" customFormat="1" ht="12">
      <c r="A974" s="101"/>
      <c r="B974" s="239" t="s">
        <v>196</v>
      </c>
      <c r="C974" s="148">
        <f>(0.3+0.1+0.4+0.25+0.25+0.4+1.9+0.8+1.023+0.5+0.2+0.25+0.818+2.25+0.81)</f>
        <v>10.251</v>
      </c>
      <c r="D974" s="148"/>
      <c r="E974" s="149"/>
      <c r="F974" s="149"/>
      <c r="G974" s="111"/>
      <c r="H974" s="107"/>
      <c r="I974" s="107"/>
    </row>
    <row r="975" spans="1:9" s="108" customFormat="1" ht="12">
      <c r="A975" s="101"/>
      <c r="B975" s="239"/>
      <c r="C975" s="148">
        <f>(0.2+0.5+0.1+4.5+9.37+4*0.35+1.35+0.645+0.9+1.205+2.3+2.57+1.1+0.7+1.123+0.8+1.6)</f>
        <v>30.363</v>
      </c>
      <c r="D975" s="148"/>
      <c r="E975" s="149"/>
      <c r="F975" s="149"/>
      <c r="G975" s="111"/>
      <c r="H975" s="107"/>
      <c r="I975" s="107"/>
    </row>
    <row r="976" spans="1:9" s="108" customFormat="1" ht="12">
      <c r="A976" s="101"/>
      <c r="B976" s="239" t="s">
        <v>197</v>
      </c>
      <c r="C976" s="148">
        <f>(6.85+2.57+0.5+6+0.35*4+5+0.45*2+2.2+0.15+1.3+3.48+3.3+1.9+0.45*2)</f>
        <v>36.449999999999996</v>
      </c>
      <c r="D976" s="148"/>
      <c r="E976" s="149"/>
      <c r="F976" s="149"/>
      <c r="G976" s="111"/>
      <c r="H976" s="107"/>
      <c r="I976" s="107"/>
    </row>
    <row r="977" spans="1:9" s="108" customFormat="1" ht="12">
      <c r="A977" s="101"/>
      <c r="B977" s="239" t="s">
        <v>407</v>
      </c>
      <c r="C977" s="148">
        <f>(5.88+4.86)*2+(5.88+3.2)*2+(5.89+4.12)*2+(4.5+2.48)*2+(3.2+5.3)*2</f>
        <v>90.62</v>
      </c>
      <c r="D977" s="148"/>
      <c r="E977" s="149"/>
      <c r="F977" s="149"/>
      <c r="G977" s="111"/>
      <c r="H977" s="107"/>
      <c r="I977" s="107"/>
    </row>
    <row r="978" spans="1:9" s="108" customFormat="1" ht="12">
      <c r="A978" s="101"/>
      <c r="B978" s="239" t="s">
        <v>408</v>
      </c>
      <c r="C978" s="148">
        <f>(5.865+3.37)*2+(4.9+4.37)*2</f>
        <v>37.01</v>
      </c>
      <c r="D978" s="148"/>
      <c r="E978" s="149"/>
      <c r="F978" s="149"/>
      <c r="G978" s="111"/>
      <c r="H978" s="107"/>
      <c r="I978" s="107"/>
    </row>
    <row r="979" spans="1:9" s="108" customFormat="1" ht="12">
      <c r="A979" s="101"/>
      <c r="B979" s="239" t="s">
        <v>399</v>
      </c>
      <c r="C979" s="148">
        <f>(4.95+4.595)*2+(2.86+2.97)*2+(4.3+3.09)*2</f>
        <v>45.53</v>
      </c>
      <c r="D979" s="148"/>
      <c r="E979" s="149"/>
      <c r="F979" s="149"/>
      <c r="G979" s="111"/>
      <c r="H979" s="107"/>
      <c r="I979" s="107"/>
    </row>
    <row r="980" spans="1:9" s="108" customFormat="1" ht="12">
      <c r="A980" s="101"/>
      <c r="B980" s="239" t="s">
        <v>409</v>
      </c>
      <c r="C980" s="148">
        <f>(10.67+6.95)*2+6*0.15+1.05+1.05+4*0.4+(1.71+1.5)*2</f>
        <v>46.26</v>
      </c>
      <c r="D980" s="148"/>
      <c r="E980" s="149"/>
      <c r="F980" s="149"/>
      <c r="G980" s="111"/>
      <c r="H980" s="107"/>
      <c r="I980" s="107"/>
    </row>
    <row r="981" spans="1:9" s="108" customFormat="1" ht="12">
      <c r="A981" s="101"/>
      <c r="B981" s="239" t="s">
        <v>401</v>
      </c>
      <c r="C981" s="148">
        <f>(6.06+1.8)*2+(18.47+2.04+4.5+0.35+3.37+1.65+3.37+0.15+0.15+0.25+0.35)</f>
        <v>50.37</v>
      </c>
      <c r="D981" s="148"/>
      <c r="E981" s="149"/>
      <c r="F981" s="149"/>
      <c r="G981" s="111"/>
      <c r="H981" s="107"/>
      <c r="I981" s="107"/>
    </row>
    <row r="982" spans="1:9" s="108" customFormat="1" ht="12">
      <c r="A982" s="101"/>
      <c r="B982" s="239" t="s">
        <v>402</v>
      </c>
      <c r="C982" s="148">
        <f>0.25+0.15+0.6+0.4538+3*0.1+0.6+0.155*2+4.66+1.05+1.535+1.05+2.4</f>
        <v>13.358800000000002</v>
      </c>
      <c r="D982" s="148"/>
      <c r="E982" s="149"/>
      <c r="F982" s="149"/>
      <c r="G982" s="111"/>
      <c r="H982" s="107"/>
      <c r="I982" s="107"/>
    </row>
    <row r="983" spans="1:9" s="108" customFormat="1" ht="12">
      <c r="A983" s="101"/>
      <c r="B983" s="239"/>
      <c r="C983" s="148">
        <f>0.45+0.48+4.5+1.6+4.5+0.12+0.45+0.8+2.43+11.3+4.5+1.65</f>
        <v>32.78</v>
      </c>
      <c r="D983" s="148"/>
      <c r="E983" s="149"/>
      <c r="F983" s="149"/>
      <c r="G983" s="111"/>
      <c r="H983" s="107"/>
      <c r="I983" s="107"/>
    </row>
    <row r="984" spans="1:9" s="108" customFormat="1" ht="12">
      <c r="A984" s="101"/>
      <c r="B984" s="239"/>
      <c r="C984" s="148">
        <f>(8.18+4.545)*2+2.3+2.3+1.9+(4.57+4.3)*2+(4.62+6.47)*2+(4.37+6.47)*2</f>
        <v>93.55000000000001</v>
      </c>
      <c r="D984" s="148"/>
      <c r="E984" s="149"/>
      <c r="F984" s="149"/>
      <c r="G984" s="111"/>
      <c r="H984" s="107"/>
      <c r="I984" s="107"/>
    </row>
    <row r="985" spans="1:9" s="108" customFormat="1" ht="12">
      <c r="A985" s="101"/>
      <c r="B985" s="205"/>
      <c r="C985" s="148">
        <f>(4.725+6.47)*2+(4.33+4.465)*2+(2.025+1.2)*2+(4.25+5.855)*2+0.2+4.2</f>
        <v>71.04000000000002</v>
      </c>
      <c r="D985" s="148"/>
      <c r="E985" s="149"/>
      <c r="F985" s="149"/>
      <c r="G985" s="111"/>
      <c r="H985" s="107"/>
      <c r="I985" s="107"/>
    </row>
    <row r="986" spans="1:9" s="108" customFormat="1" ht="12">
      <c r="A986" s="101"/>
      <c r="B986" s="205"/>
      <c r="C986" s="148">
        <f>(3.37+4.42)*2+(2.47+2.245)*2+(0.75+0.905)*2</f>
        <v>28.319999999999997</v>
      </c>
      <c r="D986" s="148"/>
      <c r="E986" s="149"/>
      <c r="F986" s="149"/>
      <c r="G986" s="111"/>
      <c r="H986" s="107"/>
      <c r="I986" s="107"/>
    </row>
    <row r="987" spans="1:9" s="108" customFormat="1" ht="12">
      <c r="A987" s="101"/>
      <c r="B987" s="205"/>
      <c r="C987" s="148">
        <f>SUM(C972:C986)</f>
        <v>660.1428</v>
      </c>
      <c r="D987" s="148"/>
      <c r="E987" s="149"/>
      <c r="F987" s="149"/>
      <c r="G987" s="111"/>
      <c r="H987" s="107"/>
      <c r="I987" s="107"/>
    </row>
    <row r="988" spans="1:9" s="108" customFormat="1" ht="12">
      <c r="A988" s="101"/>
      <c r="B988" s="205"/>
      <c r="C988" s="148"/>
      <c r="D988" s="148"/>
      <c r="E988" s="149"/>
      <c r="F988" s="149"/>
      <c r="G988" s="111"/>
      <c r="H988" s="107"/>
      <c r="I988" s="107"/>
    </row>
    <row r="989" spans="1:9" s="108" customFormat="1" ht="12">
      <c r="A989" s="101" t="s">
        <v>864</v>
      </c>
      <c r="B989" s="109" t="s">
        <v>862</v>
      </c>
      <c r="C989" s="148" t="s">
        <v>865</v>
      </c>
      <c r="D989" s="148" t="s">
        <v>157</v>
      </c>
      <c r="E989" s="149">
        <v>73.4</v>
      </c>
      <c r="F989" s="149">
        <v>0</v>
      </c>
      <c r="G989" s="111">
        <f>PRODUCT(F989*E989)</f>
        <v>0</v>
      </c>
      <c r="H989" s="107"/>
      <c r="I989" s="107"/>
    </row>
    <row r="990" spans="1:9" s="108" customFormat="1" ht="12">
      <c r="A990" s="101"/>
      <c r="B990" s="205"/>
      <c r="C990" s="105">
        <f>(1.325*49)*0.56</f>
        <v>36.358000000000004</v>
      </c>
      <c r="D990" s="148"/>
      <c r="E990" s="149"/>
      <c r="F990" s="149"/>
      <c r="G990" s="111"/>
      <c r="H990" s="107"/>
      <c r="I990" s="107"/>
    </row>
    <row r="991" spans="1:9" s="108" customFormat="1" ht="12">
      <c r="A991" s="101"/>
      <c r="B991" s="239" t="s">
        <v>122</v>
      </c>
      <c r="C991" s="148">
        <f>0.56*4*2</f>
        <v>4.48</v>
      </c>
      <c r="D991" s="148"/>
      <c r="E991" s="149"/>
      <c r="F991" s="149"/>
      <c r="G991" s="111"/>
      <c r="H991" s="107"/>
      <c r="I991" s="107"/>
    </row>
    <row r="992" spans="1:9" s="108" customFormat="1" ht="12">
      <c r="A992" s="101"/>
      <c r="B992" s="239" t="s">
        <v>222</v>
      </c>
      <c r="C992" s="148">
        <f>0.56*5*2</f>
        <v>5.6000000000000005</v>
      </c>
      <c r="D992" s="148"/>
      <c r="E992" s="149"/>
      <c r="F992" s="149"/>
      <c r="G992" s="111"/>
      <c r="H992" s="107"/>
      <c r="I992" s="107"/>
    </row>
    <row r="993" spans="1:9" s="108" customFormat="1" ht="12">
      <c r="A993" s="101"/>
      <c r="B993" s="239" t="s">
        <v>223</v>
      </c>
      <c r="C993" s="148">
        <f>0.56*2*2</f>
        <v>2.24</v>
      </c>
      <c r="D993" s="148"/>
      <c r="E993" s="149"/>
      <c r="F993" s="149"/>
      <c r="G993" s="111"/>
      <c r="H993" s="107"/>
      <c r="I993" s="107"/>
    </row>
    <row r="994" spans="1:9" s="108" customFormat="1" ht="12">
      <c r="A994" s="101"/>
      <c r="B994" s="239" t="s">
        <v>375</v>
      </c>
      <c r="C994" s="148">
        <f>(3.2+1.5+1.5)+(3.2+1.75+1.45)+(1.455+1.455+3.2)+(3.4+1.3+1.3)</f>
        <v>24.71</v>
      </c>
      <c r="D994" s="148"/>
      <c r="E994" s="149"/>
      <c r="F994" s="149"/>
      <c r="G994" s="111"/>
      <c r="H994" s="107"/>
      <c r="I994" s="107"/>
    </row>
    <row r="995" spans="1:9" s="108" customFormat="1" ht="12">
      <c r="A995" s="101"/>
      <c r="B995" s="239"/>
      <c r="C995" s="105">
        <f>SUM(C990:C994)</f>
        <v>73.388</v>
      </c>
      <c r="D995" s="148"/>
      <c r="E995" s="149"/>
      <c r="F995" s="149"/>
      <c r="G995" s="111"/>
      <c r="H995" s="107"/>
      <c r="I995" s="107"/>
    </row>
    <row r="996" spans="1:9" s="108" customFormat="1" ht="12">
      <c r="A996" s="101" t="s">
        <v>866</v>
      </c>
      <c r="B996" s="109" t="s">
        <v>867</v>
      </c>
      <c r="C996" s="148" t="s">
        <v>868</v>
      </c>
      <c r="D996" s="148" t="s">
        <v>93</v>
      </c>
      <c r="E996" s="149">
        <v>4.8</v>
      </c>
      <c r="F996" s="149">
        <v>0</v>
      </c>
      <c r="G996" s="111">
        <f>PRODUCT(F996*E996)</f>
        <v>0</v>
      </c>
      <c r="H996" s="107"/>
      <c r="I996" s="107"/>
    </row>
    <row r="997" spans="1:9" s="108" customFormat="1" ht="12">
      <c r="A997" s="101"/>
      <c r="B997" s="112" t="s">
        <v>191</v>
      </c>
      <c r="C997" s="148">
        <f>(3.21*1.5)</f>
        <v>4.8149999999999995</v>
      </c>
      <c r="D997" s="148"/>
      <c r="E997" s="149"/>
      <c r="F997" s="149"/>
      <c r="G997" s="111"/>
      <c r="H997" s="107"/>
      <c r="I997" s="107"/>
    </row>
    <row r="998" spans="1:9" s="108" customFormat="1" ht="12">
      <c r="A998" s="101" t="s">
        <v>869</v>
      </c>
      <c r="B998" s="226" t="s">
        <v>843</v>
      </c>
      <c r="C998" s="148" t="s">
        <v>870</v>
      </c>
      <c r="D998" s="148" t="s">
        <v>93</v>
      </c>
      <c r="E998" s="149">
        <v>890.2</v>
      </c>
      <c r="F998" s="149">
        <v>0</v>
      </c>
      <c r="G998" s="111">
        <f>PRODUCT(F998*E998)</f>
        <v>0</v>
      </c>
      <c r="H998" s="107"/>
      <c r="I998" s="107"/>
    </row>
    <row r="999" spans="1:9" s="108" customFormat="1" ht="12">
      <c r="A999" s="101"/>
      <c r="B999" s="226"/>
      <c r="C999" s="148">
        <f>(82.77*0.5)*1.25+(729.1*1.15)</f>
        <v>890.19625</v>
      </c>
      <c r="D999" s="148"/>
      <c r="E999" s="149"/>
      <c r="F999" s="149"/>
      <c r="G999" s="111"/>
      <c r="H999" s="107"/>
      <c r="I999" s="107"/>
    </row>
    <row r="1000" spans="1:9" s="108" customFormat="1" ht="12">
      <c r="A1000" s="101" t="s">
        <v>871</v>
      </c>
      <c r="B1000" s="109" t="s">
        <v>872</v>
      </c>
      <c r="C1000" s="148" t="s">
        <v>873</v>
      </c>
      <c r="D1000" s="148" t="s">
        <v>93</v>
      </c>
      <c r="E1000" s="149">
        <v>11.9</v>
      </c>
      <c r="F1000" s="149">
        <v>0</v>
      </c>
      <c r="G1000" s="111">
        <f>PRODUCT(F1000*E1000)</f>
        <v>0</v>
      </c>
      <c r="H1000" s="107"/>
      <c r="I1000" s="107"/>
    </row>
    <row r="1001" spans="1:9" s="108" customFormat="1" ht="12">
      <c r="A1001" s="101"/>
      <c r="B1001" s="112" t="s">
        <v>214</v>
      </c>
      <c r="C1001" s="148">
        <v>11.9</v>
      </c>
      <c r="D1001" s="148"/>
      <c r="E1001" s="149"/>
      <c r="F1001" s="149"/>
      <c r="G1001" s="111"/>
      <c r="H1001" s="107"/>
      <c r="I1001" s="107"/>
    </row>
    <row r="1002" spans="1:9" s="108" customFormat="1" ht="12">
      <c r="A1002" s="101" t="s">
        <v>874</v>
      </c>
      <c r="B1002" s="109" t="s">
        <v>875</v>
      </c>
      <c r="C1002" s="148" t="s">
        <v>876</v>
      </c>
      <c r="D1002" s="148" t="s">
        <v>555</v>
      </c>
      <c r="E1002" s="149">
        <f>SUM(G922:G1000)/100</f>
        <v>0</v>
      </c>
      <c r="F1002" s="149">
        <v>6</v>
      </c>
      <c r="G1002" s="111">
        <f>PRODUCT(F1002*E1002)</f>
        <v>0</v>
      </c>
      <c r="H1002" s="107"/>
      <c r="I1002" s="107"/>
    </row>
    <row r="1003" spans="1:9" s="108" customFormat="1" ht="12">
      <c r="A1003" s="101" t="s">
        <v>877</v>
      </c>
      <c r="B1003" s="132" t="s">
        <v>878</v>
      </c>
      <c r="C1003" s="214" t="s">
        <v>879</v>
      </c>
      <c r="D1003" s="214" t="s">
        <v>555</v>
      </c>
      <c r="E1003" s="215">
        <f>SUM(G922:G1001)/100</f>
        <v>0</v>
      </c>
      <c r="F1003" s="215">
        <v>2</v>
      </c>
      <c r="G1003" s="135">
        <f>PRODUCT(F1003*E1003)</f>
        <v>0</v>
      </c>
      <c r="H1003" s="107"/>
      <c r="I1003" s="107"/>
    </row>
    <row r="1004" spans="1:9" s="108" customFormat="1" ht="12">
      <c r="A1004" s="124"/>
      <c r="B1004" s="221"/>
      <c r="C1004" s="126" t="s">
        <v>160</v>
      </c>
      <c r="D1004" s="207"/>
      <c r="E1004" s="208"/>
      <c r="F1004" s="222"/>
      <c r="G1004" s="372">
        <f>SUM(G922:G1003)</f>
        <v>0</v>
      </c>
      <c r="H1004" s="107"/>
      <c r="I1004" s="107"/>
    </row>
    <row r="1005" spans="1:9" s="108" customFormat="1" ht="12">
      <c r="A1005" s="101"/>
      <c r="B1005" s="339">
        <v>781</v>
      </c>
      <c r="C1005" s="340" t="s">
        <v>33</v>
      </c>
      <c r="D1005" s="341"/>
      <c r="E1005" s="342"/>
      <c r="F1005" s="342"/>
      <c r="G1005" s="343"/>
      <c r="H1005" s="107"/>
      <c r="I1005" s="107"/>
    </row>
    <row r="1006" spans="1:9" s="108" customFormat="1" ht="12">
      <c r="A1006" s="101" t="s">
        <v>880</v>
      </c>
      <c r="B1006" s="109" t="s">
        <v>881</v>
      </c>
      <c r="C1006" s="148" t="s">
        <v>882</v>
      </c>
      <c r="D1006" s="148" t="s">
        <v>93</v>
      </c>
      <c r="E1006" s="149">
        <v>213.8</v>
      </c>
      <c r="F1006" s="149">
        <v>0</v>
      </c>
      <c r="G1006" s="111">
        <f>PRODUCT(F1006*E1006)</f>
        <v>0</v>
      </c>
      <c r="H1006" s="107"/>
      <c r="I1006" s="107"/>
    </row>
    <row r="1007" spans="1:9" s="108" customFormat="1" ht="12">
      <c r="A1007" s="101"/>
      <c r="B1007" s="112" t="s">
        <v>126</v>
      </c>
      <c r="C1007" s="148">
        <f>(2.45+2.1)*2*2.1-(0.8*1.97)</f>
        <v>17.534000000000002</v>
      </c>
      <c r="D1007" s="187"/>
      <c r="E1007" s="188"/>
      <c r="F1007" s="188"/>
      <c r="G1007" s="111"/>
      <c r="H1007" s="107"/>
      <c r="I1007" s="107"/>
    </row>
    <row r="1008" spans="1:7" ht="12">
      <c r="A1008" s="101"/>
      <c r="B1008" s="112" t="s">
        <v>127</v>
      </c>
      <c r="C1008" s="148">
        <f>(2+2.1)*2*2.1-0.9*1.97</f>
        <v>15.447</v>
      </c>
      <c r="D1008" s="187"/>
      <c r="E1008" s="188"/>
      <c r="F1008" s="188"/>
      <c r="G1008" s="111"/>
    </row>
    <row r="1009" spans="1:7" ht="12">
      <c r="A1009" s="113"/>
      <c r="B1009" s="112" t="s">
        <v>119</v>
      </c>
      <c r="C1009" s="171">
        <f>(1.9+1.83)*2*2.1-(0.7*1.97)</f>
        <v>14.287</v>
      </c>
      <c r="D1009" s="172"/>
      <c r="E1009" s="173"/>
      <c r="F1009" s="173"/>
      <c r="G1009" s="117"/>
    </row>
    <row r="1010" spans="1:7" ht="12">
      <c r="A1010" s="113"/>
      <c r="B1010" s="112"/>
      <c r="C1010" s="171">
        <f>(1.71+1.27)*2*2.1-(0.7*1.97)*2</f>
        <v>9.758</v>
      </c>
      <c r="D1010" s="172"/>
      <c r="E1010" s="173"/>
      <c r="F1010" s="173"/>
      <c r="G1010" s="117"/>
    </row>
    <row r="1011" spans="1:9" s="108" customFormat="1" ht="12">
      <c r="A1011" s="113"/>
      <c r="B1011" s="112" t="s">
        <v>120</v>
      </c>
      <c r="C1011" s="171">
        <f>(2.97+1.95)*2*2.1-(0.8*1.97)</f>
        <v>19.088</v>
      </c>
      <c r="D1011" s="172"/>
      <c r="E1011" s="173"/>
      <c r="F1011" s="173"/>
      <c r="G1011" s="117"/>
      <c r="H1011" s="107"/>
      <c r="I1011" s="107"/>
    </row>
    <row r="1012" spans="1:9" s="108" customFormat="1" ht="12">
      <c r="A1012" s="101"/>
      <c r="B1012" s="112" t="s">
        <v>218</v>
      </c>
      <c r="C1012" s="148">
        <f>(1.2+1.2+0.6)*2.1+(1.8*0.6)</f>
        <v>7.380000000000001</v>
      </c>
      <c r="D1012" s="148"/>
      <c r="E1012" s="149"/>
      <c r="F1012" s="149"/>
      <c r="G1012" s="111"/>
      <c r="H1012" s="107"/>
      <c r="I1012" s="107"/>
    </row>
    <row r="1013" spans="1:9" s="108" customFormat="1" ht="12">
      <c r="A1013" s="101"/>
      <c r="B1013" s="112" t="s">
        <v>121</v>
      </c>
      <c r="C1013" s="148">
        <f>(3.6+1.2)*2*2.1-(0.8*1.97)</f>
        <v>18.584</v>
      </c>
      <c r="D1013" s="148"/>
      <c r="E1013" s="149"/>
      <c r="F1013" s="149"/>
      <c r="G1013" s="111"/>
      <c r="H1013" s="107"/>
      <c r="I1013" s="107"/>
    </row>
    <row r="1014" spans="1:9" s="108" customFormat="1" ht="12">
      <c r="A1014" s="101"/>
      <c r="B1014" s="112" t="s">
        <v>242</v>
      </c>
      <c r="C1014" s="148">
        <f>(1.89+1.2)*2*2.1-(0.8*1.97)</f>
        <v>11.402</v>
      </c>
      <c r="D1014" s="148"/>
      <c r="E1014" s="149"/>
      <c r="F1014" s="149"/>
      <c r="G1014" s="111"/>
      <c r="H1014" s="107"/>
      <c r="I1014" s="107"/>
    </row>
    <row r="1015" spans="1:9" s="108" customFormat="1" ht="12">
      <c r="A1015" s="101"/>
      <c r="B1015" s="112" t="s">
        <v>220</v>
      </c>
      <c r="C1015" s="148">
        <f>(2.4+1.86)*2*2.1-(0.9*1.97)</f>
        <v>16.119</v>
      </c>
      <c r="D1015" s="148"/>
      <c r="E1015" s="149"/>
      <c r="F1015" s="149"/>
      <c r="G1015" s="111"/>
      <c r="H1015" s="107"/>
      <c r="I1015" s="107"/>
    </row>
    <row r="1016" spans="1:9" s="108" customFormat="1" ht="12">
      <c r="A1016" s="101"/>
      <c r="B1016" s="112" t="s">
        <v>133</v>
      </c>
      <c r="C1016" s="148">
        <f>(1.9+1.6)*2*2.1-(0.8*1.97)</f>
        <v>13.124</v>
      </c>
      <c r="D1016" s="148"/>
      <c r="E1016" s="149"/>
      <c r="F1016" s="149"/>
      <c r="G1016" s="111"/>
      <c r="H1016" s="107"/>
      <c r="I1016" s="107"/>
    </row>
    <row r="1017" spans="1:9" s="108" customFormat="1" ht="12">
      <c r="A1017" s="101"/>
      <c r="B1017" s="112" t="s">
        <v>134</v>
      </c>
      <c r="C1017" s="148">
        <f>(2.11+1.6)*2*2.1-(0.7*1.97)+(0.3*2.12)</f>
        <v>14.839000000000002</v>
      </c>
      <c r="D1017" s="148"/>
      <c r="E1017" s="149"/>
      <c r="F1017" s="149"/>
      <c r="G1017" s="111"/>
      <c r="H1017" s="107"/>
      <c r="I1017" s="107"/>
    </row>
    <row r="1018" spans="1:9" s="108" customFormat="1" ht="12">
      <c r="A1018" s="101"/>
      <c r="B1018" s="112" t="s">
        <v>135</v>
      </c>
      <c r="C1018" s="148">
        <f>(1.6+1.9)*2*2.1-(0.8*1.97)</f>
        <v>13.124</v>
      </c>
      <c r="D1018" s="148"/>
      <c r="E1018" s="149"/>
      <c r="F1018" s="149"/>
      <c r="G1018" s="111"/>
      <c r="H1018" s="107"/>
      <c r="I1018" s="107"/>
    </row>
    <row r="1019" spans="1:9" s="108" customFormat="1" ht="12">
      <c r="A1019" s="101"/>
      <c r="B1019" s="112" t="s">
        <v>232</v>
      </c>
      <c r="C1019" s="148">
        <f>(2.05+2.05)*2*2.1-(0.9*1.97)</f>
        <v>15.447</v>
      </c>
      <c r="D1019" s="148"/>
      <c r="E1019" s="149"/>
      <c r="F1019" s="149"/>
      <c r="G1019" s="111"/>
      <c r="H1019" s="107"/>
      <c r="I1019" s="107"/>
    </row>
    <row r="1020" spans="1:9" s="108" customFormat="1" ht="12">
      <c r="A1020" s="101"/>
      <c r="B1020" s="112" t="s">
        <v>225</v>
      </c>
      <c r="C1020" s="148">
        <f>(2.2+1.85)*2*2.1-(0.7*1.97*2+0.8*1.97*2)</f>
        <v>11.100000000000005</v>
      </c>
      <c r="D1020" s="148"/>
      <c r="E1020" s="149"/>
      <c r="F1020" s="149"/>
      <c r="G1020" s="111"/>
      <c r="H1020" s="107"/>
      <c r="I1020" s="107"/>
    </row>
    <row r="1021" spans="1:9" s="108" customFormat="1" ht="12">
      <c r="A1021" s="101"/>
      <c r="B1021" s="112" t="s">
        <v>226</v>
      </c>
      <c r="C1021" s="148">
        <f>(1.4+0.9)*2*2.1-(0.7*1.97)</f>
        <v>8.281</v>
      </c>
      <c r="D1021" s="148"/>
      <c r="E1021" s="149"/>
      <c r="F1021" s="149"/>
      <c r="G1021" s="111"/>
      <c r="H1021" s="107"/>
      <c r="I1021" s="107"/>
    </row>
    <row r="1022" spans="1:9" s="108" customFormat="1" ht="12">
      <c r="A1022" s="101"/>
      <c r="B1022" s="112" t="s">
        <v>227</v>
      </c>
      <c r="C1022" s="148">
        <f>(1.4+0.9)*2*2.1-(0.7*1.97)</f>
        <v>8.281</v>
      </c>
      <c r="D1022" s="148"/>
      <c r="E1022" s="149"/>
      <c r="F1022" s="149"/>
      <c r="G1022" s="111"/>
      <c r="H1022" s="107"/>
      <c r="I1022" s="107"/>
    </row>
    <row r="1023" spans="1:9" s="108" customFormat="1" ht="12">
      <c r="A1023" s="101"/>
      <c r="B1023" s="112"/>
      <c r="C1023" s="148">
        <f>SUM(C1007:C1022)</f>
        <v>213.795</v>
      </c>
      <c r="D1023" s="148"/>
      <c r="E1023" s="149"/>
      <c r="F1023" s="149"/>
      <c r="G1023" s="111"/>
      <c r="H1023" s="107"/>
      <c r="I1023" s="107"/>
    </row>
    <row r="1024" spans="1:9" s="108" customFormat="1" ht="12">
      <c r="A1024" s="101" t="s">
        <v>883</v>
      </c>
      <c r="B1024" s="109" t="s">
        <v>884</v>
      </c>
      <c r="C1024" s="148" t="s">
        <v>885</v>
      </c>
      <c r="D1024" s="148" t="s">
        <v>157</v>
      </c>
      <c r="E1024" s="149">
        <v>40</v>
      </c>
      <c r="F1024" s="149">
        <v>0</v>
      </c>
      <c r="G1024" s="111">
        <f>PRODUCT(F1024*E1024)</f>
        <v>0</v>
      </c>
      <c r="H1024" s="107"/>
      <c r="I1024" s="107"/>
    </row>
    <row r="1025" spans="1:9" s="108" customFormat="1" ht="12">
      <c r="A1025" s="101"/>
      <c r="B1025" s="109"/>
      <c r="C1025" s="148">
        <f>(2.5*16)</f>
        <v>40</v>
      </c>
      <c r="D1025" s="148"/>
      <c r="E1025" s="149"/>
      <c r="F1025" s="149"/>
      <c r="G1025" s="111"/>
      <c r="H1025" s="107"/>
      <c r="I1025" s="107"/>
    </row>
    <row r="1026" spans="1:9" s="108" customFormat="1" ht="12">
      <c r="A1026" s="101" t="s">
        <v>886</v>
      </c>
      <c r="B1026" s="109" t="s">
        <v>887</v>
      </c>
      <c r="C1026" s="148" t="s">
        <v>888</v>
      </c>
      <c r="D1026" s="148" t="s">
        <v>157</v>
      </c>
      <c r="E1026" s="149">
        <v>114.8</v>
      </c>
      <c r="F1026" s="149">
        <v>0</v>
      </c>
      <c r="G1026" s="111">
        <f>PRODUCT(F1026*E1026)</f>
        <v>0</v>
      </c>
      <c r="H1026" s="107"/>
      <c r="I1026" s="107"/>
    </row>
    <row r="1027" spans="1:9" s="108" customFormat="1" ht="12">
      <c r="A1027" s="101"/>
      <c r="B1027" s="112" t="s">
        <v>126</v>
      </c>
      <c r="C1027" s="148">
        <f>(2.45+2.1)*2</f>
        <v>9.100000000000001</v>
      </c>
      <c r="D1027" s="187"/>
      <c r="E1027" s="188"/>
      <c r="F1027" s="188"/>
      <c r="G1027" s="111"/>
      <c r="H1027" s="107"/>
      <c r="I1027" s="107"/>
    </row>
    <row r="1028" spans="1:7" ht="12">
      <c r="A1028" s="101"/>
      <c r="B1028" s="112" t="s">
        <v>127</v>
      </c>
      <c r="C1028" s="148">
        <f>(2+2.1)*2</f>
        <v>8.2</v>
      </c>
      <c r="D1028" s="187"/>
      <c r="E1028" s="188"/>
      <c r="F1028" s="188"/>
      <c r="G1028" s="111"/>
    </row>
    <row r="1029" spans="1:7" ht="12">
      <c r="A1029" s="113"/>
      <c r="B1029" s="112" t="s">
        <v>119</v>
      </c>
      <c r="C1029" s="171">
        <f>(1.9+1.83)*2</f>
        <v>7.46</v>
      </c>
      <c r="D1029" s="172"/>
      <c r="E1029" s="173"/>
      <c r="F1029" s="173"/>
      <c r="G1029" s="117"/>
    </row>
    <row r="1030" spans="1:7" ht="12">
      <c r="A1030" s="113"/>
      <c r="B1030" s="112"/>
      <c r="C1030" s="171">
        <f>(1.71+1.27)*2</f>
        <v>5.96</v>
      </c>
      <c r="D1030" s="172"/>
      <c r="E1030" s="173"/>
      <c r="F1030" s="173"/>
      <c r="G1030" s="117"/>
    </row>
    <row r="1031" spans="1:9" s="108" customFormat="1" ht="12">
      <c r="A1031" s="113"/>
      <c r="B1031" s="112" t="s">
        <v>120</v>
      </c>
      <c r="C1031" s="171">
        <f>(2.97+1.95)*2</f>
        <v>9.84</v>
      </c>
      <c r="D1031" s="172"/>
      <c r="E1031" s="173"/>
      <c r="F1031" s="173"/>
      <c r="G1031" s="117"/>
      <c r="H1031" s="107"/>
      <c r="I1031" s="107"/>
    </row>
    <row r="1032" spans="1:9" s="108" customFormat="1" ht="12">
      <c r="A1032" s="101"/>
      <c r="B1032" s="112" t="s">
        <v>218</v>
      </c>
      <c r="C1032" s="148">
        <f>(1.2+1.2+0.6)</f>
        <v>3</v>
      </c>
      <c r="D1032" s="148"/>
      <c r="E1032" s="149"/>
      <c r="F1032" s="149"/>
      <c r="G1032" s="111"/>
      <c r="H1032" s="107"/>
      <c r="I1032" s="107"/>
    </row>
    <row r="1033" spans="1:9" s="108" customFormat="1" ht="12">
      <c r="A1033" s="101"/>
      <c r="B1033" s="112" t="s">
        <v>121</v>
      </c>
      <c r="C1033" s="148">
        <f>(3.6+1.2)*2</f>
        <v>9.6</v>
      </c>
      <c r="D1033" s="148"/>
      <c r="E1033" s="149"/>
      <c r="F1033" s="149"/>
      <c r="G1033" s="111"/>
      <c r="H1033" s="107"/>
      <c r="I1033" s="107"/>
    </row>
    <row r="1034" spans="1:9" s="108" customFormat="1" ht="12">
      <c r="A1034" s="101"/>
      <c r="B1034" s="112" t="s">
        <v>242</v>
      </c>
      <c r="C1034" s="148">
        <f>(1.89+1.2)*2</f>
        <v>6.18</v>
      </c>
      <c r="D1034" s="148"/>
      <c r="E1034" s="149"/>
      <c r="F1034" s="149"/>
      <c r="G1034" s="111"/>
      <c r="H1034" s="107"/>
      <c r="I1034" s="107"/>
    </row>
    <row r="1035" spans="1:9" s="108" customFormat="1" ht="12">
      <c r="A1035" s="101"/>
      <c r="B1035" s="112" t="s">
        <v>220</v>
      </c>
      <c r="C1035" s="148">
        <f>(2.4+1.86)*2</f>
        <v>8.52</v>
      </c>
      <c r="D1035" s="148"/>
      <c r="E1035" s="149"/>
      <c r="F1035" s="149"/>
      <c r="G1035" s="111"/>
      <c r="H1035" s="107"/>
      <c r="I1035" s="107"/>
    </row>
    <row r="1036" spans="1:9" s="108" customFormat="1" ht="12">
      <c r="A1036" s="101"/>
      <c r="B1036" s="112" t="s">
        <v>133</v>
      </c>
      <c r="C1036" s="148">
        <f>(1.9+1.6)*2</f>
        <v>7</v>
      </c>
      <c r="D1036" s="148"/>
      <c r="E1036" s="149"/>
      <c r="F1036" s="149"/>
      <c r="G1036" s="111"/>
      <c r="H1036" s="107"/>
      <c r="I1036" s="107"/>
    </row>
    <row r="1037" spans="1:9" s="108" customFormat="1" ht="12">
      <c r="A1037" s="101"/>
      <c r="B1037" s="112" t="s">
        <v>134</v>
      </c>
      <c r="C1037" s="148">
        <f>(2.11+1.6)*2</f>
        <v>7.42</v>
      </c>
      <c r="D1037" s="148"/>
      <c r="E1037" s="149"/>
      <c r="F1037" s="149"/>
      <c r="G1037" s="111"/>
      <c r="H1037" s="107"/>
      <c r="I1037" s="107"/>
    </row>
    <row r="1038" spans="1:9" s="108" customFormat="1" ht="12">
      <c r="A1038" s="101"/>
      <c r="B1038" s="112" t="s">
        <v>135</v>
      </c>
      <c r="C1038" s="148">
        <f>(1.6+1.9)*2</f>
        <v>7</v>
      </c>
      <c r="D1038" s="148"/>
      <c r="E1038" s="149"/>
      <c r="F1038" s="149"/>
      <c r="G1038" s="111"/>
      <c r="H1038" s="107"/>
      <c r="I1038" s="107"/>
    </row>
    <row r="1039" spans="1:9" s="108" customFormat="1" ht="12">
      <c r="A1039" s="101"/>
      <c r="B1039" s="112" t="s">
        <v>232</v>
      </c>
      <c r="C1039" s="148">
        <f>(2.05+2.05)*2</f>
        <v>8.2</v>
      </c>
      <c r="D1039" s="148"/>
      <c r="E1039" s="149"/>
      <c r="F1039" s="149"/>
      <c r="G1039" s="111"/>
      <c r="H1039" s="107"/>
      <c r="I1039" s="107"/>
    </row>
    <row r="1040" spans="1:9" s="108" customFormat="1" ht="12">
      <c r="A1040" s="101"/>
      <c r="B1040" s="112" t="s">
        <v>225</v>
      </c>
      <c r="C1040" s="148">
        <f>(2.2+1.85)*2</f>
        <v>8.100000000000001</v>
      </c>
      <c r="D1040" s="148"/>
      <c r="E1040" s="149"/>
      <c r="F1040" s="149"/>
      <c r="G1040" s="111"/>
      <c r="H1040" s="107"/>
      <c r="I1040" s="107"/>
    </row>
    <row r="1041" spans="1:9" s="108" customFormat="1" ht="12">
      <c r="A1041" s="101"/>
      <c r="B1041" s="112" t="s">
        <v>226</v>
      </c>
      <c r="C1041" s="148">
        <f>(1.4+0.9)*2</f>
        <v>4.6</v>
      </c>
      <c r="D1041" s="148"/>
      <c r="E1041" s="149"/>
      <c r="F1041" s="149"/>
      <c r="G1041" s="111"/>
      <c r="H1041" s="107"/>
      <c r="I1041" s="107"/>
    </row>
    <row r="1042" spans="1:9" s="108" customFormat="1" ht="12">
      <c r="A1042" s="101"/>
      <c r="B1042" s="112" t="s">
        <v>227</v>
      </c>
      <c r="C1042" s="148">
        <f>(1.4+0.9)*2</f>
        <v>4.6</v>
      </c>
      <c r="D1042" s="148"/>
      <c r="E1042" s="149"/>
      <c r="F1042" s="149"/>
      <c r="G1042" s="111"/>
      <c r="H1042" s="107"/>
      <c r="I1042" s="107"/>
    </row>
    <row r="1043" spans="1:9" s="108" customFormat="1" ht="12">
      <c r="A1043" s="101"/>
      <c r="B1043" s="112"/>
      <c r="C1043" s="148">
        <f>SUM(C1027:C1042)</f>
        <v>114.78</v>
      </c>
      <c r="D1043" s="148"/>
      <c r="E1043" s="149"/>
      <c r="F1043" s="149"/>
      <c r="G1043" s="111"/>
      <c r="H1043" s="107"/>
      <c r="I1043" s="92"/>
    </row>
    <row r="1044" spans="1:9" s="159" customFormat="1" ht="12">
      <c r="A1044" s="101" t="s">
        <v>889</v>
      </c>
      <c r="B1044" s="109" t="s">
        <v>890</v>
      </c>
      <c r="C1044" s="148" t="s">
        <v>891</v>
      </c>
      <c r="D1044" s="148" t="s">
        <v>93</v>
      </c>
      <c r="E1044" s="149">
        <v>213.8</v>
      </c>
      <c r="F1044" s="149">
        <v>0</v>
      </c>
      <c r="G1044" s="111">
        <f>PRODUCT(F1044*E1044)</f>
        <v>0</v>
      </c>
      <c r="H1044" s="158"/>
      <c r="I1044" s="158"/>
    </row>
    <row r="1045" spans="1:9" s="159" customFormat="1" ht="12">
      <c r="A1045" s="152"/>
      <c r="B1045" s="153" t="s">
        <v>126</v>
      </c>
      <c r="C1045" s="155">
        <f>(2.45+2.1)*2*2.1-(0.8*1.97)</f>
        <v>17.534000000000002</v>
      </c>
      <c r="D1045" s="189"/>
      <c r="E1045" s="190"/>
      <c r="F1045" s="190"/>
      <c r="G1045" s="157"/>
      <c r="H1045" s="158"/>
      <c r="I1045" s="158"/>
    </row>
    <row r="1046" spans="1:9" s="170" customFormat="1" ht="12">
      <c r="A1046" s="152"/>
      <c r="B1046" s="153" t="s">
        <v>127</v>
      </c>
      <c r="C1046" s="155">
        <f>(2+2.1)*2*2.1-0.9*1.97</f>
        <v>15.447</v>
      </c>
      <c r="D1046" s="189"/>
      <c r="E1046" s="190"/>
      <c r="F1046" s="190"/>
      <c r="G1046" s="157"/>
      <c r="H1046" s="169"/>
      <c r="I1046" s="169"/>
    </row>
    <row r="1047" spans="1:7" ht="12">
      <c r="A1047" s="165"/>
      <c r="B1047" s="153" t="s">
        <v>119</v>
      </c>
      <c r="C1047" s="154">
        <f>(1.9+1.83)*2*2.1-(0.7*1.97)</f>
        <v>14.287</v>
      </c>
      <c r="D1047" s="166"/>
      <c r="E1047" s="167"/>
      <c r="F1047" s="167"/>
      <c r="G1047" s="168"/>
    </row>
    <row r="1048" spans="1:7" ht="12">
      <c r="A1048" s="113"/>
      <c r="B1048" s="112"/>
      <c r="C1048" s="171">
        <f>(1.71+1.27)*2*2.1-(0.7*1.97)*2</f>
        <v>9.758</v>
      </c>
      <c r="D1048" s="172"/>
      <c r="E1048" s="173"/>
      <c r="F1048" s="173"/>
      <c r="G1048" s="117"/>
    </row>
    <row r="1049" spans="1:9" s="108" customFormat="1" ht="12">
      <c r="A1049" s="113"/>
      <c r="B1049" s="112" t="s">
        <v>120</v>
      </c>
      <c r="C1049" s="171">
        <f>(2.97+1.95)*2*2.1-(0.8*1.97)</f>
        <v>19.088</v>
      </c>
      <c r="D1049" s="172"/>
      <c r="E1049" s="173"/>
      <c r="F1049" s="173"/>
      <c r="G1049" s="117"/>
      <c r="H1049" s="107"/>
      <c r="I1049" s="107"/>
    </row>
    <row r="1050" spans="1:9" s="108" customFormat="1" ht="12">
      <c r="A1050" s="101"/>
      <c r="B1050" s="112" t="s">
        <v>218</v>
      </c>
      <c r="C1050" s="148">
        <f>(1.2+1.2+0.6)*2.1+(1.8*0.6)</f>
        <v>7.380000000000001</v>
      </c>
      <c r="D1050" s="148"/>
      <c r="E1050" s="149"/>
      <c r="F1050" s="149"/>
      <c r="G1050" s="111"/>
      <c r="H1050" s="107"/>
      <c r="I1050" s="107"/>
    </row>
    <row r="1051" spans="1:9" s="108" customFormat="1" ht="12">
      <c r="A1051" s="101"/>
      <c r="B1051" s="112" t="s">
        <v>121</v>
      </c>
      <c r="C1051" s="148">
        <f>(3.6+1.2)*2*2.1-(0.8*1.97)</f>
        <v>18.584</v>
      </c>
      <c r="D1051" s="148"/>
      <c r="E1051" s="149"/>
      <c r="F1051" s="149"/>
      <c r="G1051" s="111"/>
      <c r="H1051" s="107"/>
      <c r="I1051" s="107"/>
    </row>
    <row r="1052" spans="1:9" s="108" customFormat="1" ht="12">
      <c r="A1052" s="101"/>
      <c r="B1052" s="112" t="s">
        <v>242</v>
      </c>
      <c r="C1052" s="148">
        <f>(1.89+1.2)*2*2.1-(0.8*1.97)</f>
        <v>11.402</v>
      </c>
      <c r="D1052" s="148"/>
      <c r="E1052" s="149"/>
      <c r="F1052" s="149"/>
      <c r="G1052" s="111"/>
      <c r="H1052" s="107"/>
      <c r="I1052" s="107"/>
    </row>
    <row r="1053" spans="1:9" s="108" customFormat="1" ht="12">
      <c r="A1053" s="101"/>
      <c r="B1053" s="112" t="s">
        <v>220</v>
      </c>
      <c r="C1053" s="148">
        <f>(2.4+1.86)*2*2.1-(0.9*1.97)</f>
        <v>16.119</v>
      </c>
      <c r="D1053" s="148"/>
      <c r="E1053" s="149"/>
      <c r="F1053" s="149"/>
      <c r="G1053" s="111"/>
      <c r="H1053" s="107"/>
      <c r="I1053" s="107"/>
    </row>
    <row r="1054" spans="1:9" s="108" customFormat="1" ht="12">
      <c r="A1054" s="101"/>
      <c r="B1054" s="112" t="s">
        <v>133</v>
      </c>
      <c r="C1054" s="148">
        <f>(1.9+1.6)*2*2.1-(0.8*1.97)</f>
        <v>13.124</v>
      </c>
      <c r="D1054" s="148"/>
      <c r="E1054" s="149"/>
      <c r="F1054" s="149"/>
      <c r="G1054" s="111"/>
      <c r="H1054" s="107"/>
      <c r="I1054" s="107"/>
    </row>
    <row r="1055" spans="1:9" s="108" customFormat="1" ht="12">
      <c r="A1055" s="101"/>
      <c r="B1055" s="112" t="s">
        <v>134</v>
      </c>
      <c r="C1055" s="148">
        <f>(2.11+1.6)*2*2.1-(0.7*1.97)+(0.3*2.12)</f>
        <v>14.839000000000002</v>
      </c>
      <c r="D1055" s="148"/>
      <c r="E1055" s="149"/>
      <c r="F1055" s="149"/>
      <c r="G1055" s="111"/>
      <c r="H1055" s="107"/>
      <c r="I1055" s="107"/>
    </row>
    <row r="1056" spans="1:9" s="108" customFormat="1" ht="12">
      <c r="A1056" s="101"/>
      <c r="B1056" s="112" t="s">
        <v>135</v>
      </c>
      <c r="C1056" s="148">
        <f>(1.6+1.9)*2*2.1-(0.8*1.97)</f>
        <v>13.124</v>
      </c>
      <c r="D1056" s="148"/>
      <c r="E1056" s="149"/>
      <c r="F1056" s="149"/>
      <c r="G1056" s="111"/>
      <c r="H1056" s="107"/>
      <c r="I1056" s="107"/>
    </row>
    <row r="1057" spans="1:9" s="108" customFormat="1" ht="12">
      <c r="A1057" s="101"/>
      <c r="B1057" s="112" t="s">
        <v>232</v>
      </c>
      <c r="C1057" s="148">
        <f>(2.05+2.05)*2*2.1-(0.9*1.97)</f>
        <v>15.447</v>
      </c>
      <c r="D1057" s="148"/>
      <c r="E1057" s="149"/>
      <c r="F1057" s="149"/>
      <c r="G1057" s="111"/>
      <c r="H1057" s="107"/>
      <c r="I1057" s="107"/>
    </row>
    <row r="1058" spans="1:9" s="108" customFormat="1" ht="12">
      <c r="A1058" s="101"/>
      <c r="B1058" s="112" t="s">
        <v>225</v>
      </c>
      <c r="C1058" s="148">
        <f>(2.2+1.85)*2*2.1-(0.7*1.97*2+0.8*1.97*2)</f>
        <v>11.100000000000005</v>
      </c>
      <c r="D1058" s="148"/>
      <c r="E1058" s="149"/>
      <c r="F1058" s="149"/>
      <c r="G1058" s="111"/>
      <c r="H1058" s="107"/>
      <c r="I1058" s="107"/>
    </row>
    <row r="1059" spans="1:9" s="108" customFormat="1" ht="12">
      <c r="A1059" s="101"/>
      <c r="B1059" s="112" t="s">
        <v>226</v>
      </c>
      <c r="C1059" s="148">
        <f>(1.4+0.9)*2*2.1-(0.7*1.97)</f>
        <v>8.281</v>
      </c>
      <c r="D1059" s="148"/>
      <c r="E1059" s="149"/>
      <c r="F1059" s="149"/>
      <c r="G1059" s="111"/>
      <c r="H1059" s="107"/>
      <c r="I1059" s="107"/>
    </row>
    <row r="1060" spans="1:9" s="108" customFormat="1" ht="12">
      <c r="A1060" s="101"/>
      <c r="B1060" s="112" t="s">
        <v>227</v>
      </c>
      <c r="C1060" s="148">
        <f>(1.4+0.9)*2*2.1-(0.7*1.97)</f>
        <v>8.281</v>
      </c>
      <c r="D1060" s="148"/>
      <c r="E1060" s="149"/>
      <c r="F1060" s="149"/>
      <c r="G1060" s="111"/>
      <c r="H1060" s="107"/>
      <c r="I1060" s="107"/>
    </row>
    <row r="1061" spans="1:7" ht="12">
      <c r="A1061" s="101"/>
      <c r="B1061" s="112"/>
      <c r="C1061" s="148">
        <f>SUM(C1045:C1060)</f>
        <v>213.795</v>
      </c>
      <c r="D1061" s="148"/>
      <c r="E1061" s="149"/>
      <c r="F1061" s="149"/>
      <c r="G1061" s="111"/>
    </row>
    <row r="1062" spans="1:9" s="108" customFormat="1" ht="12">
      <c r="A1062" s="113"/>
      <c r="B1062" s="114"/>
      <c r="C1062" s="172"/>
      <c r="D1062" s="172"/>
      <c r="E1062" s="173"/>
      <c r="F1062" s="173"/>
      <c r="G1062" s="117"/>
      <c r="H1062" s="107"/>
      <c r="I1062" s="107"/>
    </row>
    <row r="1063" spans="1:9" s="108" customFormat="1" ht="12">
      <c r="A1063" s="101" t="s">
        <v>892</v>
      </c>
      <c r="B1063" s="109" t="s">
        <v>893</v>
      </c>
      <c r="C1063" s="148" t="s">
        <v>894</v>
      </c>
      <c r="D1063" s="148" t="s">
        <v>157</v>
      </c>
      <c r="E1063" s="149">
        <v>4.9</v>
      </c>
      <c r="F1063" s="149">
        <v>0</v>
      </c>
      <c r="G1063" s="111">
        <f>PRODUCT(F1063*E1063)</f>
        <v>0</v>
      </c>
      <c r="H1063" s="107"/>
      <c r="I1063" s="107"/>
    </row>
    <row r="1064" spans="1:9" s="108" customFormat="1" ht="12">
      <c r="A1064" s="101"/>
      <c r="B1064" s="112" t="s">
        <v>119</v>
      </c>
      <c r="C1064" s="148">
        <v>0.6000000000000001</v>
      </c>
      <c r="D1064" s="148"/>
      <c r="E1064" s="149"/>
      <c r="F1064" s="149"/>
      <c r="G1064" s="111"/>
      <c r="H1064" s="107"/>
      <c r="I1064" s="107"/>
    </row>
    <row r="1065" spans="1:9" s="108" customFormat="1" ht="12">
      <c r="A1065" s="101"/>
      <c r="B1065" s="112" t="s">
        <v>311</v>
      </c>
      <c r="C1065" s="148">
        <f>0.9+0.6+0.6</f>
        <v>2.1</v>
      </c>
      <c r="D1065" s="148"/>
      <c r="E1065" s="149"/>
      <c r="F1065" s="149"/>
      <c r="G1065" s="111"/>
      <c r="H1065" s="107"/>
      <c r="I1065" s="107"/>
    </row>
    <row r="1066" spans="1:9" s="108" customFormat="1" ht="12">
      <c r="A1066" s="101"/>
      <c r="B1066" s="112" t="s">
        <v>278</v>
      </c>
      <c r="C1066" s="148">
        <v>1.3</v>
      </c>
      <c r="D1066" s="148"/>
      <c r="E1066" s="149"/>
      <c r="F1066" s="149"/>
      <c r="G1066" s="111"/>
      <c r="H1066" s="107"/>
      <c r="I1066" s="107"/>
    </row>
    <row r="1067" spans="1:9" s="108" customFormat="1" ht="12">
      <c r="A1067" s="101"/>
      <c r="B1067" s="112" t="s">
        <v>226</v>
      </c>
      <c r="C1067" s="148">
        <f>0.9</f>
        <v>0.9</v>
      </c>
      <c r="D1067" s="148"/>
      <c r="E1067" s="149"/>
      <c r="F1067" s="149"/>
      <c r="G1067" s="111"/>
      <c r="H1067" s="107"/>
      <c r="I1067" s="107"/>
    </row>
    <row r="1068" spans="1:9" s="108" customFormat="1" ht="12">
      <c r="A1068" s="101"/>
      <c r="B1068" s="112"/>
      <c r="C1068" s="148">
        <f>SUM(C1064:C1067)</f>
        <v>4.9</v>
      </c>
      <c r="D1068" s="148"/>
      <c r="E1068" s="149"/>
      <c r="F1068" s="149"/>
      <c r="G1068" s="111"/>
      <c r="H1068" s="107"/>
      <c r="I1068" s="107"/>
    </row>
    <row r="1069" spans="1:9" s="108" customFormat="1" ht="12">
      <c r="A1069" s="101" t="s">
        <v>895</v>
      </c>
      <c r="B1069" s="109" t="s">
        <v>896</v>
      </c>
      <c r="C1069" s="148" t="s">
        <v>897</v>
      </c>
      <c r="D1069" s="148" t="s">
        <v>93</v>
      </c>
      <c r="E1069" s="149">
        <v>17.72</v>
      </c>
      <c r="F1069" s="149">
        <v>0</v>
      </c>
      <c r="G1069" s="111">
        <f>E1069*F1069</f>
        <v>0</v>
      </c>
      <c r="H1069" s="107"/>
      <c r="I1069" s="107"/>
    </row>
    <row r="1070" spans="1:9" s="108" customFormat="1" ht="12">
      <c r="A1070" s="101"/>
      <c r="B1070" s="109"/>
      <c r="C1070" s="148"/>
      <c r="D1070" s="148"/>
      <c r="E1070" s="149"/>
      <c r="F1070" s="149"/>
      <c r="G1070" s="111"/>
      <c r="H1070" s="107"/>
      <c r="I1070" s="107"/>
    </row>
    <row r="1071" spans="1:9" s="108" customFormat="1" ht="12">
      <c r="A1071" s="101"/>
      <c r="B1071" s="112" t="s">
        <v>275</v>
      </c>
      <c r="C1071" s="148">
        <f>((1.74+1.75)*2*2.1-(0.8*1.97))*0.35</f>
        <v>4.5787</v>
      </c>
      <c r="D1071" s="148"/>
      <c r="E1071" s="149"/>
      <c r="F1071" s="149"/>
      <c r="G1071" s="111"/>
      <c r="H1071" s="107"/>
      <c r="I1071" s="107"/>
    </row>
    <row r="1072" spans="1:9" s="108" customFormat="1" ht="12">
      <c r="A1072" s="101"/>
      <c r="B1072" s="112" t="s">
        <v>276</v>
      </c>
      <c r="C1072" s="148">
        <f>((1.8+1.29)*2*2.1-(0.8*1.97))*0.35</f>
        <v>3.9907</v>
      </c>
      <c r="D1072" s="148"/>
      <c r="E1072" s="149"/>
      <c r="F1072" s="149"/>
      <c r="G1072" s="111"/>
      <c r="H1072" s="107"/>
      <c r="I1072" s="107"/>
    </row>
    <row r="1073" spans="1:9" s="108" customFormat="1" ht="12">
      <c r="A1073" s="101"/>
      <c r="B1073" s="112" t="s">
        <v>278</v>
      </c>
      <c r="C1073" s="148">
        <f>((3.3+3.3)*2*2.1-(0.8*1.97))*0.35</f>
        <v>9.1504</v>
      </c>
      <c r="D1073" s="148"/>
      <c r="E1073" s="149"/>
      <c r="F1073" s="149"/>
      <c r="G1073" s="111"/>
      <c r="H1073" s="107"/>
      <c r="I1073" s="107"/>
    </row>
    <row r="1074" spans="1:9" s="108" customFormat="1" ht="12">
      <c r="A1074" s="101"/>
      <c r="B1074" s="112"/>
      <c r="C1074" s="148">
        <f>SUM(C1071:C1073)</f>
        <v>17.7198</v>
      </c>
      <c r="D1074" s="148"/>
      <c r="E1074" s="149"/>
      <c r="F1074" s="149"/>
      <c r="G1074" s="111"/>
      <c r="H1074" s="107"/>
      <c r="I1074" s="107"/>
    </row>
    <row r="1075" spans="1:9" s="108" customFormat="1" ht="12">
      <c r="A1075" s="101" t="s">
        <v>898</v>
      </c>
      <c r="B1075" s="381">
        <v>59781372</v>
      </c>
      <c r="C1075" s="148" t="s">
        <v>899</v>
      </c>
      <c r="D1075" s="148" t="s">
        <v>93</v>
      </c>
      <c r="E1075" s="149">
        <v>256.3</v>
      </c>
      <c r="F1075" s="149">
        <v>0</v>
      </c>
      <c r="G1075" s="111">
        <f>PRODUCT(F1075*E1075)</f>
        <v>0</v>
      </c>
      <c r="H1075" s="107"/>
      <c r="I1075" s="107"/>
    </row>
    <row r="1076" spans="1:9" s="108" customFormat="1" ht="12">
      <c r="A1076" s="101"/>
      <c r="B1076" s="109"/>
      <c r="C1076" s="148">
        <f>(213.8*1.1)+(4.9*0.3*1.1)+(17.72*1.1)</f>
        <v>256.28900000000004</v>
      </c>
      <c r="D1076" s="148"/>
      <c r="E1076" s="149"/>
      <c r="F1076" s="149"/>
      <c r="G1076" s="111"/>
      <c r="H1076" s="107"/>
      <c r="I1076" s="107"/>
    </row>
    <row r="1077" spans="1:9" s="108" customFormat="1" ht="12">
      <c r="A1077" s="101" t="s">
        <v>900</v>
      </c>
      <c r="B1077" s="382" t="s">
        <v>901</v>
      </c>
      <c r="C1077" s="383" t="s">
        <v>902</v>
      </c>
      <c r="D1077" s="383" t="s">
        <v>555</v>
      </c>
      <c r="E1077" s="149">
        <f>SUM(G1006:G1076)/100</f>
        <v>0</v>
      </c>
      <c r="F1077" s="149">
        <v>8</v>
      </c>
      <c r="G1077" s="111">
        <f>ROUND(PRODUCT(F1077*E1077),0)</f>
        <v>0</v>
      </c>
      <c r="H1077" s="107"/>
      <c r="I1077" s="107"/>
    </row>
    <row r="1078" spans="1:9" s="108" customFormat="1" ht="12">
      <c r="A1078" s="101" t="s">
        <v>903</v>
      </c>
      <c r="B1078" s="212" t="s">
        <v>904</v>
      </c>
      <c r="C1078" s="214" t="s">
        <v>905</v>
      </c>
      <c r="D1078" s="213" t="s">
        <v>555</v>
      </c>
      <c r="E1078" s="215">
        <f>SUM(G1006:G1076)/100</f>
        <v>0</v>
      </c>
      <c r="F1078" s="215">
        <v>2</v>
      </c>
      <c r="G1078" s="135">
        <f>ROUND(PRODUCT(F1078*E1078),0)</f>
        <v>0</v>
      </c>
      <c r="H1078" s="107"/>
      <c r="I1078" s="107"/>
    </row>
    <row r="1079" spans="1:9" s="108" customFormat="1" ht="12">
      <c r="A1079" s="124"/>
      <c r="B1079" s="221"/>
      <c r="C1079" s="126" t="s">
        <v>160</v>
      </c>
      <c r="D1079" s="207"/>
      <c r="E1079" s="208"/>
      <c r="F1079" s="222"/>
      <c r="G1079" s="372">
        <f>SUM(G1006:G1078)</f>
        <v>0</v>
      </c>
      <c r="H1079" s="107"/>
      <c r="I1079" s="107"/>
    </row>
    <row r="1080" spans="1:9" s="108" customFormat="1" ht="12">
      <c r="A1080" s="101"/>
      <c r="B1080" s="102">
        <v>783</v>
      </c>
      <c r="C1080" s="216" t="s">
        <v>906</v>
      </c>
      <c r="D1080" s="217"/>
      <c r="E1080" s="218"/>
      <c r="F1080" s="218"/>
      <c r="G1080" s="231"/>
      <c r="H1080" s="107"/>
      <c r="I1080" s="107"/>
    </row>
    <row r="1081" spans="1:7" ht="12">
      <c r="A1081" s="101" t="s">
        <v>907</v>
      </c>
      <c r="B1081" s="109" t="s">
        <v>908</v>
      </c>
      <c r="C1081" s="148" t="s">
        <v>909</v>
      </c>
      <c r="D1081" s="148" t="s">
        <v>93</v>
      </c>
      <c r="E1081" s="149">
        <v>3793.49</v>
      </c>
      <c r="F1081" s="149">
        <v>0</v>
      </c>
      <c r="G1081" s="111">
        <f>PRODUCT(F1081*E1081)</f>
        <v>0</v>
      </c>
    </row>
    <row r="1082" spans="1:7" ht="12">
      <c r="A1082" s="113"/>
      <c r="B1082" s="112" t="s">
        <v>191</v>
      </c>
      <c r="C1082" s="154">
        <f>(2.3+3.2)*2*2.91</f>
        <v>32.010000000000005</v>
      </c>
      <c r="D1082" s="172"/>
      <c r="E1082" s="173"/>
      <c r="F1082" s="173"/>
      <c r="G1082" s="117"/>
    </row>
    <row r="1083" spans="1:7" ht="12">
      <c r="A1083" s="113"/>
      <c r="B1083" s="112" t="s">
        <v>211</v>
      </c>
      <c r="C1083" s="171">
        <f>(6.17+4.5)*2*2.91+28.3</f>
        <v>90.3994</v>
      </c>
      <c r="D1083" s="172"/>
      <c r="E1083" s="173"/>
      <c r="F1083" s="173"/>
      <c r="G1083" s="117"/>
    </row>
    <row r="1084" spans="1:7" ht="12">
      <c r="A1084" s="113"/>
      <c r="B1084" s="112"/>
      <c r="C1084" s="171">
        <f>(3.1+1.9)*2*2.91</f>
        <v>29.1</v>
      </c>
      <c r="D1084" s="172"/>
      <c r="E1084" s="173"/>
      <c r="F1084" s="173"/>
      <c r="G1084" s="117"/>
    </row>
    <row r="1085" spans="1:7" ht="12">
      <c r="A1085" s="113"/>
      <c r="B1085" s="112" t="s">
        <v>158</v>
      </c>
      <c r="C1085" s="171">
        <f>(2.2+2.54+8+1.7+1.7+4.6+1.8+5.89+7.5+1.3)*2.91+53</f>
        <v>161.33930000000004</v>
      </c>
      <c r="D1085" s="172"/>
      <c r="E1085" s="173"/>
      <c r="F1085" s="173"/>
      <c r="G1085" s="117"/>
    </row>
    <row r="1086" spans="1:9" s="108" customFormat="1" ht="12">
      <c r="A1086" s="113"/>
      <c r="B1086" s="112"/>
      <c r="C1086" s="171">
        <f>(2.75+4.5+1.3+0.45+2.1+1.6+1.85+3+1.85+2.9+1.2+2.15+1.5+4.7)*2.91</f>
        <v>92.68349999999998</v>
      </c>
      <c r="D1086" s="172"/>
      <c r="E1086" s="173"/>
      <c r="F1086" s="173"/>
      <c r="G1086" s="117"/>
      <c r="H1086" s="107"/>
      <c r="I1086" s="107"/>
    </row>
    <row r="1087" spans="1:7" ht="12">
      <c r="A1087" s="101"/>
      <c r="B1087" s="112" t="s">
        <v>116</v>
      </c>
      <c r="C1087" s="171">
        <f>(5.915+3.37)*2*2.91+20.7</f>
        <v>74.73870000000001</v>
      </c>
      <c r="D1087" s="148"/>
      <c r="E1087" s="149"/>
      <c r="F1087" s="149"/>
      <c r="G1087" s="111"/>
    </row>
    <row r="1088" spans="1:7" ht="12">
      <c r="A1088" s="113"/>
      <c r="B1088" s="112" t="s">
        <v>117</v>
      </c>
      <c r="C1088" s="171">
        <f>(6.05+5.3)*2*2.91+28.4</f>
        <v>94.457</v>
      </c>
      <c r="D1088" s="172"/>
      <c r="E1088" s="173"/>
      <c r="F1088" s="173"/>
      <c r="G1088" s="117"/>
    </row>
    <row r="1089" spans="1:7" ht="12">
      <c r="A1089" s="113"/>
      <c r="B1089" s="112" t="s">
        <v>126</v>
      </c>
      <c r="C1089" s="171">
        <f>(2.45+2.1)*2*1.41+5.2</f>
        <v>18.031000000000002</v>
      </c>
      <c r="D1089" s="172"/>
      <c r="E1089" s="173"/>
      <c r="F1089" s="173"/>
      <c r="G1089" s="117"/>
    </row>
    <row r="1090" spans="1:7" ht="12">
      <c r="A1090" s="113"/>
      <c r="B1090" s="112" t="s">
        <v>127</v>
      </c>
      <c r="C1090" s="171">
        <f>(2+2.1)*2*1.41+4.2</f>
        <v>15.762</v>
      </c>
      <c r="D1090" s="172"/>
      <c r="E1090" s="173"/>
      <c r="F1090" s="173"/>
      <c r="G1090" s="117"/>
    </row>
    <row r="1091" spans="1:7" ht="12">
      <c r="A1091" s="113"/>
      <c r="B1091" s="112" t="s">
        <v>212</v>
      </c>
      <c r="C1091" s="171">
        <f>(2+1.85)*2*2.91+(2.35+2)*2*2.91+(3.44+0.95)*2*1.41</f>
        <v>60.10380000000001</v>
      </c>
      <c r="D1091" s="172"/>
      <c r="E1091" s="173"/>
      <c r="F1091" s="173"/>
      <c r="G1091" s="117"/>
    </row>
    <row r="1092" spans="1:7" ht="12">
      <c r="A1092" s="113"/>
      <c r="B1092" s="112" t="s">
        <v>111</v>
      </c>
      <c r="C1092" s="171">
        <f>(1.29+0.9)*2*1.4+1.4</f>
        <v>7.532</v>
      </c>
      <c r="D1092" s="172"/>
      <c r="E1092" s="173"/>
      <c r="F1092" s="173"/>
      <c r="G1092" s="117"/>
    </row>
    <row r="1093" spans="1:7" ht="12">
      <c r="A1093" s="113"/>
      <c r="B1093" s="112" t="s">
        <v>213</v>
      </c>
      <c r="C1093" s="171">
        <f>(1.8+0.9)*2*1.4+1.6</f>
        <v>9.16</v>
      </c>
      <c r="D1093" s="172"/>
      <c r="E1093" s="173"/>
      <c r="F1093" s="173"/>
      <c r="G1093" s="117"/>
    </row>
    <row r="1094" spans="1:7" ht="12">
      <c r="A1094" s="113"/>
      <c r="B1094" s="112" t="s">
        <v>252</v>
      </c>
      <c r="C1094" s="171">
        <f>(1.58+1.1)*2*1.41+1.7</f>
        <v>9.257600000000002</v>
      </c>
      <c r="D1094" s="172"/>
      <c r="E1094" s="173"/>
      <c r="F1094" s="173"/>
      <c r="G1094" s="117"/>
    </row>
    <row r="1095" spans="1:7" ht="12">
      <c r="A1095" s="113"/>
      <c r="B1095" s="112" t="s">
        <v>253</v>
      </c>
      <c r="C1095" s="171">
        <f>(2.28+2.3)*2*2.91+6.5</f>
        <v>33.15560000000001</v>
      </c>
      <c r="D1095" s="172"/>
      <c r="E1095" s="173"/>
      <c r="F1095" s="173"/>
      <c r="G1095" s="117"/>
    </row>
    <row r="1096" spans="1:7" ht="12">
      <c r="A1096" s="113"/>
      <c r="B1096" s="112" t="s">
        <v>254</v>
      </c>
      <c r="C1096" s="171">
        <f>(1.55+2)*2*2.91+2.8</f>
        <v>23.461000000000002</v>
      </c>
      <c r="D1096" s="172"/>
      <c r="E1096" s="173"/>
      <c r="F1096" s="173"/>
      <c r="G1096" s="117"/>
    </row>
    <row r="1097" spans="1:9" s="108" customFormat="1" ht="12">
      <c r="A1097" s="113"/>
      <c r="B1097" s="112" t="s">
        <v>214</v>
      </c>
      <c r="C1097" s="171">
        <f>(5.89+2)*2*2.91+1.35*2.91+11.9</f>
        <v>61.7483</v>
      </c>
      <c r="D1097" s="172"/>
      <c r="E1097" s="173"/>
      <c r="F1097" s="173"/>
      <c r="G1097" s="117"/>
      <c r="H1097" s="107"/>
      <c r="I1097" s="107"/>
    </row>
    <row r="1098" spans="1:7" ht="12">
      <c r="A1098" s="101"/>
      <c r="B1098" s="197" t="s">
        <v>215</v>
      </c>
      <c r="C1098" s="105">
        <f>(4.32+2.9)*2*2.91+12.5</f>
        <v>54.52040000000001</v>
      </c>
      <c r="D1098" s="198"/>
      <c r="E1098" s="199"/>
      <c r="F1098" s="145"/>
      <c r="G1098" s="200"/>
    </row>
    <row r="1099" spans="1:7" ht="12">
      <c r="A1099" s="113"/>
      <c r="B1099" s="112" t="s">
        <v>118</v>
      </c>
      <c r="C1099" s="171">
        <f>(5.5+7.15)*2*2.6+32</f>
        <v>97.78</v>
      </c>
      <c r="D1099" s="172"/>
      <c r="E1099" s="173"/>
      <c r="F1099" s="173"/>
      <c r="G1099" s="117"/>
    </row>
    <row r="1100" spans="1:7" ht="12">
      <c r="A1100" s="113"/>
      <c r="B1100" s="112" t="s">
        <v>255</v>
      </c>
      <c r="C1100" s="171">
        <f>(5.65+3.05)*2*1.41+15.2</f>
        <v>39.733999999999995</v>
      </c>
      <c r="D1100" s="172"/>
      <c r="E1100" s="173"/>
      <c r="F1100" s="173"/>
      <c r="G1100" s="117"/>
    </row>
    <row r="1101" spans="1:7" ht="12">
      <c r="A1101" s="113"/>
      <c r="B1101" s="112" t="s">
        <v>256</v>
      </c>
      <c r="C1101" s="171">
        <f>(1.5+1)*2*2.91+1.6</f>
        <v>16.150000000000002</v>
      </c>
      <c r="D1101" s="172"/>
      <c r="E1101" s="173"/>
      <c r="F1101" s="173"/>
      <c r="G1101" s="117"/>
    </row>
    <row r="1102" spans="1:7" ht="12">
      <c r="A1102" s="113"/>
      <c r="B1102" s="112" t="s">
        <v>257</v>
      </c>
      <c r="C1102" s="171">
        <f>(1.5+1.23)*2*2.91+1.8</f>
        <v>17.6886</v>
      </c>
      <c r="D1102" s="172"/>
      <c r="E1102" s="173"/>
      <c r="F1102" s="173"/>
      <c r="G1102" s="117"/>
    </row>
    <row r="1103" spans="1:7" ht="12">
      <c r="A1103" s="113"/>
      <c r="B1103" s="112" t="s">
        <v>216</v>
      </c>
      <c r="C1103" s="171">
        <f>(2.11+1.1)*2*0.81+3.8</f>
        <v>9.0002</v>
      </c>
      <c r="D1103" s="172"/>
      <c r="E1103" s="173"/>
      <c r="F1103" s="173"/>
      <c r="G1103" s="117"/>
    </row>
    <row r="1104" spans="1:7" ht="12">
      <c r="A1104" s="113"/>
      <c r="B1104" s="112" t="s">
        <v>258</v>
      </c>
      <c r="C1104" s="171">
        <f>(2.11+1.1)*2*2.91+1.6</f>
        <v>20.282200000000003</v>
      </c>
      <c r="D1104" s="172"/>
      <c r="E1104" s="173"/>
      <c r="F1104" s="173"/>
      <c r="G1104" s="117"/>
    </row>
    <row r="1105" spans="1:7" ht="12">
      <c r="A1105" s="113"/>
      <c r="B1105" s="112" t="s">
        <v>259</v>
      </c>
      <c r="C1105" s="171">
        <f>(1.15+1.2)*2*2.91+(1.75+3.05)*2*2.91+14.4</f>
        <v>56.013</v>
      </c>
      <c r="D1105" s="172"/>
      <c r="E1105" s="173"/>
      <c r="F1105" s="173"/>
      <c r="G1105" s="117"/>
    </row>
    <row r="1106" spans="1:7" ht="12">
      <c r="A1106" s="113"/>
      <c r="B1106" s="112" t="s">
        <v>260</v>
      </c>
      <c r="C1106" s="171">
        <f>(4.47+2.15)*2*2.6+8</f>
        <v>42.424</v>
      </c>
      <c r="D1106" s="172"/>
      <c r="E1106" s="173"/>
      <c r="F1106" s="173"/>
      <c r="G1106" s="117"/>
    </row>
    <row r="1107" spans="1:7" ht="12">
      <c r="A1107" s="113"/>
      <c r="B1107" s="112" t="s">
        <v>261</v>
      </c>
      <c r="C1107" s="171">
        <f>(2.42+2.28)*2*0.81+10.1</f>
        <v>17.714</v>
      </c>
      <c r="D1107" s="172"/>
      <c r="E1107" s="173"/>
      <c r="F1107" s="173"/>
      <c r="G1107" s="117"/>
    </row>
    <row r="1108" spans="1:7" ht="12">
      <c r="A1108" s="113"/>
      <c r="B1108" s="112" t="s">
        <v>128</v>
      </c>
      <c r="C1108" s="171">
        <f>(1.325+2.16)*2*2.6+2.6</f>
        <v>20.722000000000005</v>
      </c>
      <c r="D1108" s="172"/>
      <c r="E1108" s="173"/>
      <c r="F1108" s="173"/>
      <c r="G1108" s="117"/>
    </row>
    <row r="1109" spans="1:7" ht="12">
      <c r="A1109" s="113"/>
      <c r="B1109" s="112" t="s">
        <v>196</v>
      </c>
      <c r="C1109" s="171">
        <f>(9.37+4.5)*2*3.6</f>
        <v>99.86399999999999</v>
      </c>
      <c r="D1109" s="172"/>
      <c r="E1109" s="173"/>
      <c r="F1109" s="173"/>
      <c r="G1109" s="117"/>
    </row>
    <row r="1110" spans="1:7" ht="12">
      <c r="A1110" s="113"/>
      <c r="B1110" s="112"/>
      <c r="C1110" s="171">
        <f>(1.35+0.645+0.9+1.205+2.3)*3.6</f>
        <v>23.04</v>
      </c>
      <c r="D1110" s="172"/>
      <c r="E1110" s="173"/>
      <c r="F1110" s="173"/>
      <c r="G1110" s="117"/>
    </row>
    <row r="1111" spans="1:7" ht="12">
      <c r="A1111" s="113"/>
      <c r="B1111" s="112"/>
      <c r="C1111" s="171">
        <f>(3.5+1.81)*2*3.6</f>
        <v>38.232000000000006</v>
      </c>
      <c r="D1111" s="172"/>
      <c r="E1111" s="173"/>
      <c r="F1111" s="173"/>
      <c r="G1111" s="117"/>
    </row>
    <row r="1112" spans="1:7" ht="12">
      <c r="A1112" s="113"/>
      <c r="B1112" s="112"/>
      <c r="C1112" s="171">
        <f>(2.6+0.815)*2*3.6</f>
        <v>24.588</v>
      </c>
      <c r="D1112" s="172"/>
      <c r="E1112" s="173"/>
      <c r="F1112" s="173"/>
      <c r="G1112" s="117"/>
    </row>
    <row r="1113" spans="1:7" ht="12">
      <c r="A1113" s="113"/>
      <c r="B1113" s="112" t="s">
        <v>197</v>
      </c>
      <c r="C1113" s="171">
        <f>(6.65+2.57)*2*3.4</f>
        <v>62.696000000000005</v>
      </c>
      <c r="D1113" s="172"/>
      <c r="E1113" s="173"/>
      <c r="F1113" s="173"/>
      <c r="G1113" s="117"/>
    </row>
    <row r="1114" spans="1:7" ht="12">
      <c r="A1114" s="113"/>
      <c r="B1114" s="112"/>
      <c r="C1114" s="171">
        <f>(6.4+3.5)*2*3.4</f>
        <v>67.32000000000001</v>
      </c>
      <c r="D1114" s="172"/>
      <c r="E1114" s="173"/>
      <c r="F1114" s="173"/>
      <c r="G1114" s="117"/>
    </row>
    <row r="1115" spans="1:7" ht="12">
      <c r="A1115" s="113"/>
      <c r="B1115" s="112" t="s">
        <v>198</v>
      </c>
      <c r="C1115" s="171">
        <f>(10.2+2.54)*2*3.4</f>
        <v>86.63199999999999</v>
      </c>
      <c r="D1115" s="172"/>
      <c r="E1115" s="173"/>
      <c r="F1115" s="173"/>
      <c r="G1115" s="117"/>
    </row>
    <row r="1116" spans="1:7" ht="12">
      <c r="A1116" s="113"/>
      <c r="B1116" s="112"/>
      <c r="C1116" s="171">
        <f>(1.89+1.1)*2*3.4</f>
        <v>20.332</v>
      </c>
      <c r="D1116" s="172"/>
      <c r="E1116" s="173"/>
      <c r="F1116" s="173"/>
      <c r="G1116" s="117"/>
    </row>
    <row r="1117" spans="1:7" ht="12">
      <c r="A1117" s="113"/>
      <c r="B1117" s="112" t="s">
        <v>238</v>
      </c>
      <c r="C1117" s="171">
        <f>(5.88+4.86)*2*3.4</f>
        <v>73.032</v>
      </c>
      <c r="D1117" s="172"/>
      <c r="E1117" s="173"/>
      <c r="F1117" s="173"/>
      <c r="G1117" s="117"/>
    </row>
    <row r="1118" spans="1:7" ht="12">
      <c r="A1118" s="113"/>
      <c r="B1118" s="112" t="s">
        <v>262</v>
      </c>
      <c r="C1118" s="171">
        <f>(3.2+5.88)*2*3.4</f>
        <v>61.744</v>
      </c>
      <c r="D1118" s="172"/>
      <c r="E1118" s="173"/>
      <c r="F1118" s="173"/>
      <c r="G1118" s="117"/>
    </row>
    <row r="1119" spans="1:7" ht="12">
      <c r="A1119" s="113"/>
      <c r="B1119" s="112" t="s">
        <v>199</v>
      </c>
      <c r="C1119" s="171">
        <f>(5.89+4.12)*2*3.4+(2.94*3.4)</f>
        <v>78.064</v>
      </c>
      <c r="D1119" s="172"/>
      <c r="E1119" s="173"/>
      <c r="F1119" s="173"/>
      <c r="G1119" s="117"/>
    </row>
    <row r="1120" spans="1:7" ht="12">
      <c r="A1120" s="113"/>
      <c r="B1120" s="112" t="s">
        <v>263</v>
      </c>
      <c r="C1120" s="171">
        <f>(4.5+2.48)*2*3.4</f>
        <v>47.464</v>
      </c>
      <c r="D1120" s="172"/>
      <c r="E1120" s="173"/>
      <c r="F1120" s="173"/>
      <c r="G1120" s="117"/>
    </row>
    <row r="1121" spans="1:7" ht="12">
      <c r="A1121" s="113"/>
      <c r="B1121" s="112" t="s">
        <v>217</v>
      </c>
      <c r="C1121" s="171">
        <f>(5.3+3.2)*2*3.4+(2.3+0.89)*2*3.4</f>
        <v>79.49199999999999</v>
      </c>
      <c r="D1121" s="172"/>
      <c r="E1121" s="173"/>
      <c r="F1121" s="173"/>
      <c r="G1121" s="117"/>
    </row>
    <row r="1122" spans="1:7" ht="12">
      <c r="A1122" s="113"/>
      <c r="B1122" s="112" t="s">
        <v>264</v>
      </c>
      <c r="C1122" s="171">
        <f>(5.865+3.37)*2*3.4</f>
        <v>62.797999999999995</v>
      </c>
      <c r="D1122" s="172"/>
      <c r="E1122" s="173"/>
      <c r="F1122" s="173"/>
      <c r="G1122" s="117"/>
    </row>
    <row r="1123" spans="1:7" ht="12">
      <c r="A1123" s="113"/>
      <c r="B1123" s="112" t="s">
        <v>239</v>
      </c>
      <c r="C1123" s="171">
        <f>(4.9+4.37)*2*3.4</f>
        <v>63.035999999999994</v>
      </c>
      <c r="D1123" s="172"/>
      <c r="E1123" s="173"/>
      <c r="F1123" s="173"/>
      <c r="G1123" s="117"/>
    </row>
    <row r="1124" spans="1:7" ht="12">
      <c r="A1124" s="113"/>
      <c r="B1124" s="112" t="s">
        <v>119</v>
      </c>
      <c r="C1124" s="171">
        <f>(1.9+1.83)*2*1.3</f>
        <v>9.698</v>
      </c>
      <c r="D1124" s="172"/>
      <c r="E1124" s="173"/>
      <c r="F1124" s="173"/>
      <c r="G1124" s="117"/>
    </row>
    <row r="1125" spans="1:7" ht="12">
      <c r="A1125" s="113"/>
      <c r="B1125" s="112"/>
      <c r="C1125" s="171">
        <f>(1.71+1.27)*2*1.3</f>
        <v>7.748</v>
      </c>
      <c r="D1125" s="172"/>
      <c r="E1125" s="173"/>
      <c r="F1125" s="173"/>
      <c r="G1125" s="117"/>
    </row>
    <row r="1126" spans="1:7" ht="12">
      <c r="A1126" s="113"/>
      <c r="B1126" s="112" t="s">
        <v>120</v>
      </c>
      <c r="C1126" s="171">
        <f>(1.95+2.97)*2*1.3</f>
        <v>12.792</v>
      </c>
      <c r="D1126" s="172"/>
      <c r="E1126" s="173"/>
      <c r="F1126" s="173"/>
      <c r="G1126" s="117"/>
    </row>
    <row r="1127" spans="1:7" ht="12">
      <c r="A1127" s="113"/>
      <c r="B1127" s="112" t="s">
        <v>218</v>
      </c>
      <c r="C1127" s="171">
        <f>(4.95+4.595)*2*3.4</f>
        <v>64.90599999999999</v>
      </c>
      <c r="D1127" s="172"/>
      <c r="E1127" s="173"/>
      <c r="F1127" s="173"/>
      <c r="G1127" s="117"/>
    </row>
    <row r="1128" spans="1:7" ht="12">
      <c r="A1128" s="113"/>
      <c r="B1128" s="112" t="s">
        <v>121</v>
      </c>
      <c r="C1128" s="171">
        <f>(3.6+1.2)*2*1.3</f>
        <v>12.48</v>
      </c>
      <c r="D1128" s="172"/>
      <c r="E1128" s="173"/>
      <c r="F1128" s="173"/>
      <c r="G1128" s="117"/>
    </row>
    <row r="1129" spans="1:7" ht="12">
      <c r="A1129" s="113"/>
      <c r="B1129" s="112" t="s">
        <v>219</v>
      </c>
      <c r="C1129" s="171">
        <f>(1.2+1.89)*2*1.3</f>
        <v>8.034</v>
      </c>
      <c r="D1129" s="172"/>
      <c r="E1129" s="173"/>
      <c r="F1129" s="173"/>
      <c r="G1129" s="117"/>
    </row>
    <row r="1130" spans="1:7" ht="12">
      <c r="A1130" s="113"/>
      <c r="B1130" s="112" t="s">
        <v>265</v>
      </c>
      <c r="C1130" s="171">
        <f>(1.65+0.89)*2*1.9+1.4</f>
        <v>11.052</v>
      </c>
      <c r="D1130" s="172"/>
      <c r="E1130" s="173"/>
      <c r="F1130" s="173"/>
      <c r="G1130" s="117"/>
    </row>
    <row r="1131" spans="1:7" ht="12">
      <c r="A1131" s="113"/>
      <c r="B1131" s="112" t="s">
        <v>220</v>
      </c>
      <c r="C1131" s="171">
        <f>(2.4+1.86)*2*1.3</f>
        <v>11.076</v>
      </c>
      <c r="D1131" s="172"/>
      <c r="E1131" s="173"/>
      <c r="F1131" s="173"/>
      <c r="G1131" s="117"/>
    </row>
    <row r="1132" spans="1:7" ht="12">
      <c r="A1132" s="113"/>
      <c r="B1132" s="112" t="s">
        <v>266</v>
      </c>
      <c r="C1132" s="171">
        <f>(2.86+2.97)*2*3.65</f>
        <v>42.559</v>
      </c>
      <c r="D1132" s="172"/>
      <c r="E1132" s="173"/>
      <c r="F1132" s="173"/>
      <c r="G1132" s="117"/>
    </row>
    <row r="1133" spans="1:7" ht="12">
      <c r="A1133" s="113"/>
      <c r="B1133" s="112" t="s">
        <v>159</v>
      </c>
      <c r="C1133" s="171">
        <f>(3.09+4.3)*2*3.4</f>
        <v>50.251999999999995</v>
      </c>
      <c r="D1133" s="172"/>
      <c r="E1133" s="173"/>
      <c r="F1133" s="173"/>
      <c r="G1133" s="117"/>
    </row>
    <row r="1134" spans="1:7" ht="12">
      <c r="A1134" s="113"/>
      <c r="B1134" s="112" t="s">
        <v>201</v>
      </c>
      <c r="C1134" s="171">
        <f>(10.67+6.95)*2*3.5</f>
        <v>123.34</v>
      </c>
      <c r="D1134" s="172"/>
      <c r="E1134" s="173"/>
      <c r="F1134" s="173"/>
      <c r="G1134" s="117"/>
    </row>
    <row r="1135" spans="1:7" ht="12">
      <c r="A1135" s="113"/>
      <c r="B1135" s="112" t="s">
        <v>221</v>
      </c>
      <c r="C1135" s="171">
        <f>(1.71+1.5)*2*3.4</f>
        <v>21.828</v>
      </c>
      <c r="D1135" s="172"/>
      <c r="E1135" s="173"/>
      <c r="F1135" s="173"/>
      <c r="G1135" s="117"/>
    </row>
    <row r="1136" spans="1:7" ht="12">
      <c r="A1136" s="113"/>
      <c r="B1136" s="112" t="s">
        <v>267</v>
      </c>
      <c r="C1136" s="171">
        <f>(1.25+1)*2*3.65+1.92</f>
        <v>18.345</v>
      </c>
      <c r="D1136" s="172"/>
      <c r="E1136" s="173"/>
      <c r="F1136" s="173"/>
      <c r="G1136" s="117"/>
    </row>
    <row r="1137" spans="1:7" ht="12">
      <c r="A1137" s="113"/>
      <c r="B1137" s="112" t="s">
        <v>268</v>
      </c>
      <c r="C1137" s="171">
        <f>(0.75+0.905)*2*3.6+0.7</f>
        <v>12.616</v>
      </c>
      <c r="D1137" s="172"/>
      <c r="E1137" s="173"/>
      <c r="F1137" s="173"/>
      <c r="G1137" s="117"/>
    </row>
    <row r="1138" spans="1:9" s="108" customFormat="1" ht="12">
      <c r="A1138" s="113"/>
      <c r="B1138" s="112" t="s">
        <v>122</v>
      </c>
      <c r="C1138" s="171">
        <f>(6.06+1.8)*2*2.6+4.4</f>
        <v>45.272</v>
      </c>
      <c r="D1138" s="172"/>
      <c r="E1138" s="173"/>
      <c r="F1138" s="173"/>
      <c r="G1138" s="117"/>
      <c r="H1138" s="151"/>
      <c r="I1138" s="107"/>
    </row>
    <row r="1139" spans="1:9" s="108" customFormat="1" ht="12">
      <c r="A1139" s="101"/>
      <c r="B1139" s="106" t="s">
        <v>222</v>
      </c>
      <c r="C1139" s="105">
        <f>(18.47+12.96)*2*2.6+74.1</f>
        <v>237.536</v>
      </c>
      <c r="D1139" s="104"/>
      <c r="E1139" s="199"/>
      <c r="F1139" s="145"/>
      <c r="G1139" s="200"/>
      <c r="H1139" s="151"/>
      <c r="I1139" s="107"/>
    </row>
    <row r="1140" spans="1:9" s="108" customFormat="1" ht="12">
      <c r="A1140" s="101"/>
      <c r="B1140" s="101"/>
      <c r="C1140" s="105">
        <f>(3.72+1.65)*2*2.6</f>
        <v>27.923999999999996</v>
      </c>
      <c r="D1140" s="104"/>
      <c r="E1140" s="199"/>
      <c r="F1140" s="145"/>
      <c r="G1140" s="200"/>
      <c r="H1140" s="151"/>
      <c r="I1140" s="107"/>
    </row>
    <row r="1141" spans="1:9" s="108" customFormat="1" ht="12">
      <c r="A1141" s="101"/>
      <c r="B1141" s="101"/>
      <c r="C1141" s="105">
        <f>(4.595+1.6)*2*2.6</f>
        <v>32.214000000000006</v>
      </c>
      <c r="D1141" s="104"/>
      <c r="E1141" s="199"/>
      <c r="F1141" s="145"/>
      <c r="G1141" s="200"/>
      <c r="H1141" s="151"/>
      <c r="I1141" s="107"/>
    </row>
    <row r="1142" spans="1:7" ht="12">
      <c r="A1142" s="101"/>
      <c r="B1142" s="101"/>
      <c r="C1142" s="105">
        <f>(1.8+1)*2*2.6+(1.02+1.055)*2.6</f>
        <v>19.955</v>
      </c>
      <c r="D1142" s="104"/>
      <c r="E1142" s="199"/>
      <c r="F1142" s="145"/>
      <c r="G1142" s="200"/>
    </row>
    <row r="1143" spans="1:7" ht="12">
      <c r="A1143" s="113"/>
      <c r="B1143" s="112" t="s">
        <v>223</v>
      </c>
      <c r="C1143" s="171">
        <f>(8.18+4.545)*2*3.6+(6.35*3.6)+41.9</f>
        <v>156.38</v>
      </c>
      <c r="D1143" s="172"/>
      <c r="E1143" s="173"/>
      <c r="F1143" s="173"/>
      <c r="G1143" s="117"/>
    </row>
    <row r="1144" spans="1:7" ht="12">
      <c r="A1144" s="113"/>
      <c r="B1144" s="112" t="s">
        <v>269</v>
      </c>
      <c r="C1144" s="171">
        <f>(4.3+4.57)*2*2.6+(1.8+1.2)*2*2.6+19.7</f>
        <v>81.424</v>
      </c>
      <c r="D1144" s="172"/>
      <c r="E1144" s="173"/>
      <c r="F1144" s="173"/>
      <c r="G1144" s="117"/>
    </row>
    <row r="1145" spans="1:7" ht="12">
      <c r="A1145" s="113"/>
      <c r="B1145" s="112" t="s">
        <v>270</v>
      </c>
      <c r="C1145" s="171">
        <f>(4.62+6.47)*2*2.6+23.4</f>
        <v>81.068</v>
      </c>
      <c r="D1145" s="172"/>
      <c r="E1145" s="173"/>
      <c r="F1145" s="173"/>
      <c r="G1145" s="117"/>
    </row>
    <row r="1146" spans="1:7" ht="12">
      <c r="A1146" s="113"/>
      <c r="B1146" s="112" t="s">
        <v>271</v>
      </c>
      <c r="C1146" s="171">
        <f>(4.37+4.57)*2*2.6+(1.75+1.2)*2*2.6+19.9</f>
        <v>81.72800000000001</v>
      </c>
      <c r="D1146" s="172"/>
      <c r="E1146" s="173"/>
      <c r="F1146" s="173"/>
      <c r="G1146" s="117"/>
    </row>
    <row r="1147" spans="1:7" ht="12">
      <c r="A1147" s="113"/>
      <c r="B1147" s="112" t="s">
        <v>272</v>
      </c>
      <c r="C1147" s="171">
        <f>(6.47+4.725)*2*2.6+23.9</f>
        <v>82.114</v>
      </c>
      <c r="D1147" s="172"/>
      <c r="E1147" s="173"/>
      <c r="F1147" s="173"/>
      <c r="G1147" s="117"/>
    </row>
    <row r="1148" spans="1:7" ht="12">
      <c r="A1148" s="113"/>
      <c r="B1148" s="112" t="s">
        <v>273</v>
      </c>
      <c r="C1148" s="171">
        <f>(4.555+4.515)*2*2.6+20.6</f>
        <v>67.76400000000001</v>
      </c>
      <c r="D1148" s="172"/>
      <c r="E1148" s="173"/>
      <c r="F1148" s="173"/>
      <c r="G1148" s="117"/>
    </row>
    <row r="1149" spans="1:7" ht="12">
      <c r="A1149" s="113"/>
      <c r="B1149" s="112" t="s">
        <v>274</v>
      </c>
      <c r="C1149" s="171">
        <f>(4.33+4.465)*2*2.6+(2.025+1.2)*2*2.6+19.3</f>
        <v>81.804</v>
      </c>
      <c r="D1149" s="172"/>
      <c r="E1149" s="173"/>
      <c r="F1149" s="173"/>
      <c r="G1149" s="117"/>
    </row>
    <row r="1150" spans="1:7" ht="12">
      <c r="A1150" s="113"/>
      <c r="B1150" s="112" t="s">
        <v>202</v>
      </c>
      <c r="C1150" s="171">
        <f>(4.45+5.822)*2*2.71+(1*4+0.1*2)*2.71+19.3</f>
        <v>86.35624</v>
      </c>
      <c r="D1150" s="172"/>
      <c r="E1150" s="173"/>
      <c r="F1150" s="173"/>
      <c r="G1150" s="117"/>
    </row>
    <row r="1151" spans="1:7" ht="12">
      <c r="A1151" s="113"/>
      <c r="B1151" s="112" t="s">
        <v>224</v>
      </c>
      <c r="C1151" s="171">
        <f>(4.42+3.37)*2*3.14+14.9</f>
        <v>63.8212</v>
      </c>
      <c r="D1151" s="172"/>
      <c r="E1151" s="173"/>
      <c r="F1151" s="173"/>
      <c r="G1151" s="117"/>
    </row>
    <row r="1152" spans="1:7" ht="12">
      <c r="A1152" s="113"/>
      <c r="B1152" s="112" t="s">
        <v>275</v>
      </c>
      <c r="C1152" s="171">
        <f>(1.74+1.75)*2*0.5+3.1</f>
        <v>6.59</v>
      </c>
      <c r="D1152" s="172"/>
      <c r="E1152" s="173"/>
      <c r="F1152" s="173"/>
      <c r="G1152" s="117"/>
    </row>
    <row r="1153" spans="1:7" ht="12">
      <c r="A1153" s="113"/>
      <c r="B1153" s="112" t="s">
        <v>133</v>
      </c>
      <c r="C1153" s="171">
        <f>(1.93+1.6)*2*0.5+3.1</f>
        <v>6.630000000000001</v>
      </c>
      <c r="D1153" s="172"/>
      <c r="E1153" s="173"/>
      <c r="F1153" s="173"/>
      <c r="G1153" s="117"/>
    </row>
    <row r="1154" spans="1:7" ht="12">
      <c r="A1154" s="113"/>
      <c r="B1154" s="112" t="s">
        <v>134</v>
      </c>
      <c r="C1154" s="171">
        <f>(2.11+1.6)*2*0.5+3.4</f>
        <v>7.109999999999999</v>
      </c>
      <c r="D1154" s="172"/>
      <c r="E1154" s="173"/>
      <c r="F1154" s="173"/>
      <c r="G1154" s="117"/>
    </row>
    <row r="1155" spans="1:7" ht="12">
      <c r="A1155" s="113"/>
      <c r="B1155" s="112" t="s">
        <v>135</v>
      </c>
      <c r="C1155" s="171">
        <f>(1.9+1.6)*2*0.5+3</f>
        <v>6.5</v>
      </c>
      <c r="D1155" s="172"/>
      <c r="E1155" s="173"/>
      <c r="F1155" s="173"/>
      <c r="G1155" s="117"/>
    </row>
    <row r="1156" spans="1:7" ht="12">
      <c r="A1156" s="113"/>
      <c r="B1156" s="112" t="s">
        <v>232</v>
      </c>
      <c r="C1156" s="171">
        <f>(2.025+2.025)*2*0.5+4.2</f>
        <v>8.25</v>
      </c>
      <c r="D1156" s="172"/>
      <c r="E1156" s="173"/>
      <c r="F1156" s="173"/>
      <c r="G1156" s="117"/>
    </row>
    <row r="1157" spans="1:7" ht="12">
      <c r="A1157" s="113"/>
      <c r="B1157" s="112" t="s">
        <v>276</v>
      </c>
      <c r="C1157" s="171">
        <f>(1.29+1.8)*2*0.5+2.3</f>
        <v>5.39</v>
      </c>
      <c r="D1157" s="172"/>
      <c r="E1157" s="173"/>
      <c r="F1157" s="173"/>
      <c r="G1157" s="117"/>
    </row>
    <row r="1158" spans="1:7" ht="12">
      <c r="A1158" s="113"/>
      <c r="B1158" s="112" t="s">
        <v>277</v>
      </c>
      <c r="C1158" s="171">
        <f>(1.75+2.555)*2*2.6+4.5</f>
        <v>26.886</v>
      </c>
      <c r="D1158" s="172"/>
      <c r="E1158" s="173"/>
      <c r="F1158" s="173"/>
      <c r="G1158" s="117"/>
    </row>
    <row r="1159" spans="1:7" ht="12">
      <c r="A1159" s="113"/>
      <c r="B1159" s="112" t="s">
        <v>225</v>
      </c>
      <c r="C1159" s="171">
        <f>(2.2+1.85)*2*0.5+3.9</f>
        <v>7.950000000000001</v>
      </c>
      <c r="D1159" s="172"/>
      <c r="E1159" s="173"/>
      <c r="F1159" s="173"/>
      <c r="G1159" s="117"/>
    </row>
    <row r="1160" spans="1:9" s="170" customFormat="1" ht="12">
      <c r="A1160" s="113"/>
      <c r="B1160" s="112" t="s">
        <v>278</v>
      </c>
      <c r="C1160" s="171">
        <f>(3.305+3.3)*2*1.04+10.9</f>
        <v>24.638400000000004</v>
      </c>
      <c r="D1160" s="172"/>
      <c r="E1160" s="173"/>
      <c r="F1160" s="173"/>
      <c r="G1160" s="117"/>
      <c r="H1160" s="169"/>
      <c r="I1160" s="169"/>
    </row>
    <row r="1161" spans="1:7" ht="12">
      <c r="A1161" s="165"/>
      <c r="B1161" s="153" t="s">
        <v>226</v>
      </c>
      <c r="C1161" s="154">
        <f>(1.4+0.9)*2*0.5+1.3</f>
        <v>3.5999999999999996</v>
      </c>
      <c r="D1161" s="166"/>
      <c r="E1161" s="167"/>
      <c r="F1161" s="167"/>
      <c r="G1161" s="168"/>
    </row>
    <row r="1162" spans="1:7" ht="12">
      <c r="A1162" s="113"/>
      <c r="B1162" s="112" t="s">
        <v>227</v>
      </c>
      <c r="C1162" s="171">
        <f>(1.4+0.9)*2*0.5+1.3</f>
        <v>3.5999999999999996</v>
      </c>
      <c r="D1162" s="172"/>
      <c r="E1162" s="173"/>
      <c r="F1162" s="173"/>
      <c r="G1162" s="117"/>
    </row>
    <row r="1163" spans="1:7" ht="12">
      <c r="A1163" s="113"/>
      <c r="B1163" s="112" t="s">
        <v>279</v>
      </c>
      <c r="C1163" s="171">
        <f>(2.47+2.245)*2*2.71+6.1</f>
        <v>31.655299999999997</v>
      </c>
      <c r="D1163" s="172"/>
      <c r="E1163" s="173"/>
      <c r="F1163" s="173"/>
      <c r="G1163" s="117"/>
    </row>
    <row r="1164" spans="1:7" ht="12">
      <c r="A1164" s="113"/>
      <c r="B1164" s="112" t="s">
        <v>280</v>
      </c>
      <c r="C1164" s="171">
        <f>(0.905+0.75)*2*2.6+0.7</f>
        <v>9.306</v>
      </c>
      <c r="D1164" s="172"/>
      <c r="E1164" s="173"/>
      <c r="F1164" s="173"/>
      <c r="G1164" s="117"/>
    </row>
    <row r="1165" spans="1:7" ht="12">
      <c r="A1165" s="113"/>
      <c r="B1165" s="112"/>
      <c r="C1165" s="171">
        <f>SUM(C1082:C1164)</f>
        <v>3793.49374</v>
      </c>
      <c r="D1165" s="172"/>
      <c r="E1165" s="173"/>
      <c r="F1165" s="173"/>
      <c r="G1165" s="117"/>
    </row>
    <row r="1166" spans="1:9" s="108" customFormat="1" ht="12">
      <c r="A1166" s="113"/>
      <c r="B1166" s="109"/>
      <c r="C1166" s="171"/>
      <c r="D1166" s="172"/>
      <c r="E1166" s="173"/>
      <c r="F1166" s="173"/>
      <c r="G1166" s="117"/>
      <c r="H1166" s="107"/>
      <c r="I1166" s="107"/>
    </row>
    <row r="1167" spans="1:9" s="108" customFormat="1" ht="12">
      <c r="A1167" s="101" t="s">
        <v>910</v>
      </c>
      <c r="B1167" s="109" t="s">
        <v>911</v>
      </c>
      <c r="C1167" s="148" t="s">
        <v>912</v>
      </c>
      <c r="D1167" s="148" t="s">
        <v>93</v>
      </c>
      <c r="E1167" s="149">
        <v>3793.49</v>
      </c>
      <c r="F1167" s="149">
        <v>0</v>
      </c>
      <c r="G1167" s="111">
        <f>PRODUCT(F1167*E1167)</f>
        <v>0</v>
      </c>
      <c r="H1167" s="107"/>
      <c r="I1167" s="107"/>
    </row>
    <row r="1168" spans="1:9" s="108" customFormat="1" ht="12">
      <c r="A1168" s="101"/>
      <c r="B1168" s="109"/>
      <c r="C1168" s="148" t="s">
        <v>913</v>
      </c>
      <c r="D1168" s="148"/>
      <c r="E1168" s="149"/>
      <c r="F1168" s="149"/>
      <c r="G1168" s="111"/>
      <c r="H1168" s="107"/>
      <c r="I1168" s="107"/>
    </row>
    <row r="1169" spans="1:9" s="108" customFormat="1" ht="12">
      <c r="A1169" s="101" t="s">
        <v>914</v>
      </c>
      <c r="B1169" s="109" t="s">
        <v>915</v>
      </c>
      <c r="C1169" s="148" t="s">
        <v>916</v>
      </c>
      <c r="D1169" s="148" t="s">
        <v>93</v>
      </c>
      <c r="E1169" s="149">
        <v>230.91</v>
      </c>
      <c r="F1169" s="149">
        <v>0</v>
      </c>
      <c r="G1169" s="111">
        <f>PRODUCT(F1169*E1169)</f>
        <v>0</v>
      </c>
      <c r="H1169" s="107"/>
      <c r="I1169" s="107"/>
    </row>
    <row r="1170" spans="1:9" s="108" customFormat="1" ht="12">
      <c r="A1170" s="101"/>
      <c r="B1170" s="109" t="s">
        <v>207</v>
      </c>
      <c r="C1170" s="148">
        <f>(5.95+3.2)*2*(10.57+0.3)</f>
        <v>198.92100000000002</v>
      </c>
      <c r="D1170" s="148"/>
      <c r="E1170" s="149"/>
      <c r="F1170" s="149"/>
      <c r="G1170" s="111"/>
      <c r="H1170" s="107"/>
      <c r="I1170" s="107"/>
    </row>
    <row r="1171" spans="1:9" s="108" customFormat="1" ht="12">
      <c r="A1171" s="101"/>
      <c r="B1171" s="109" t="s">
        <v>208</v>
      </c>
      <c r="C1171" s="148">
        <f>(1.3*5)*4+(5*0.3*4)</f>
        <v>32</v>
      </c>
      <c r="D1171" s="148"/>
      <c r="E1171" s="149"/>
      <c r="F1171" s="149"/>
      <c r="G1171" s="111"/>
      <c r="H1171" s="107"/>
      <c r="I1171" s="107"/>
    </row>
    <row r="1172" spans="1:9" s="108" customFormat="1" ht="12">
      <c r="A1172" s="101"/>
      <c r="B1172" s="109"/>
      <c r="C1172" s="148">
        <f>SUM(C1170:C1171)</f>
        <v>230.92100000000002</v>
      </c>
      <c r="D1172" s="148"/>
      <c r="E1172" s="149"/>
      <c r="F1172" s="149"/>
      <c r="G1172" s="111"/>
      <c r="H1172" s="107"/>
      <c r="I1172" s="107"/>
    </row>
    <row r="1173" spans="1:9" s="108" customFormat="1" ht="12">
      <c r="A1173" s="101" t="s">
        <v>917</v>
      </c>
      <c r="B1173" s="109" t="s">
        <v>911</v>
      </c>
      <c r="C1173" s="148" t="s">
        <v>918</v>
      </c>
      <c r="D1173" s="148" t="s">
        <v>93</v>
      </c>
      <c r="E1173" s="149">
        <v>230.92</v>
      </c>
      <c r="F1173" s="149">
        <v>0</v>
      </c>
      <c r="G1173" s="111">
        <f>PRODUCT(F1173*E1173)</f>
        <v>0</v>
      </c>
      <c r="H1173" s="107"/>
      <c r="I1173" s="107"/>
    </row>
    <row r="1174" spans="1:9" s="108" customFormat="1" ht="12">
      <c r="A1174" s="101"/>
      <c r="B1174" s="109" t="s">
        <v>207</v>
      </c>
      <c r="C1174" s="148">
        <f>(5.95+3.2)*2*(10.57+0.3)</f>
        <v>198.92100000000002</v>
      </c>
      <c r="D1174" s="148"/>
      <c r="E1174" s="149"/>
      <c r="F1174" s="149"/>
      <c r="G1174" s="111"/>
      <c r="H1174" s="107"/>
      <c r="I1174" s="107"/>
    </row>
    <row r="1175" spans="1:9" s="108" customFormat="1" ht="12">
      <c r="A1175" s="101"/>
      <c r="B1175" s="109" t="s">
        <v>208</v>
      </c>
      <c r="C1175" s="148">
        <f>(1.3*5)*4+(5*0.3*4)</f>
        <v>32</v>
      </c>
      <c r="D1175" s="148"/>
      <c r="E1175" s="149"/>
      <c r="F1175" s="149"/>
      <c r="G1175" s="111"/>
      <c r="H1175" s="107"/>
      <c r="I1175" s="107"/>
    </row>
    <row r="1176" spans="1:9" s="108" customFormat="1" ht="12">
      <c r="A1176" s="101"/>
      <c r="B1176" s="109"/>
      <c r="C1176" s="148">
        <f>SUM(C1174:C1175)</f>
        <v>230.92100000000002</v>
      </c>
      <c r="D1176" s="148"/>
      <c r="E1176" s="149"/>
      <c r="F1176" s="149"/>
      <c r="G1176" s="111"/>
      <c r="H1176" s="107"/>
      <c r="I1176" s="107"/>
    </row>
    <row r="1177" spans="1:9" s="108" customFormat="1" ht="12">
      <c r="A1177" s="101" t="s">
        <v>919</v>
      </c>
      <c r="B1177" s="109" t="s">
        <v>920</v>
      </c>
      <c r="C1177" s="148" t="s">
        <v>921</v>
      </c>
      <c r="D1177" s="148" t="s">
        <v>93</v>
      </c>
      <c r="E1177" s="149">
        <v>153.36</v>
      </c>
      <c r="F1177" s="149">
        <v>0</v>
      </c>
      <c r="G1177" s="111">
        <f>PRODUCT(F1177*E1177)</f>
        <v>0</v>
      </c>
      <c r="H1177" s="107"/>
      <c r="I1177" s="107"/>
    </row>
    <row r="1178" spans="1:9" s="108" customFormat="1" ht="12">
      <c r="A1178" s="101"/>
      <c r="B1178" s="112" t="s">
        <v>922</v>
      </c>
      <c r="C1178" s="148" t="s">
        <v>923</v>
      </c>
      <c r="D1178" s="148"/>
      <c r="E1178" s="149"/>
      <c r="F1178" s="149"/>
      <c r="G1178" s="111"/>
      <c r="H1178" s="107"/>
      <c r="I1178" s="107"/>
    </row>
    <row r="1179" spans="1:9" s="108" customFormat="1" ht="12">
      <c r="A1179" s="101"/>
      <c r="B1179" s="112" t="s">
        <v>924</v>
      </c>
      <c r="C1179" s="148" t="s">
        <v>925</v>
      </c>
      <c r="D1179" s="148"/>
      <c r="E1179" s="149"/>
      <c r="F1179" s="149"/>
      <c r="G1179" s="111"/>
      <c r="H1179" s="107"/>
      <c r="I1179" s="107"/>
    </row>
    <row r="1180" spans="1:9" s="108" customFormat="1" ht="12">
      <c r="A1180" s="101"/>
      <c r="B1180" s="112" t="s">
        <v>926</v>
      </c>
      <c r="C1180" s="187" t="s">
        <v>925</v>
      </c>
      <c r="D1180" s="187"/>
      <c r="E1180" s="188"/>
      <c r="F1180" s="188"/>
      <c r="G1180" s="227"/>
      <c r="H1180" s="107"/>
      <c r="I1180" s="107"/>
    </row>
    <row r="1181" spans="1:7" ht="12">
      <c r="A1181" s="101" t="s">
        <v>927</v>
      </c>
      <c r="B1181" s="109" t="s">
        <v>928</v>
      </c>
      <c r="C1181" s="148" t="s">
        <v>929</v>
      </c>
      <c r="D1181" s="148" t="s">
        <v>157</v>
      </c>
      <c r="E1181" s="149">
        <v>6.21</v>
      </c>
      <c r="F1181" s="149">
        <v>0</v>
      </c>
      <c r="G1181" s="111">
        <f>PRODUCT(F1181*E1181)</f>
        <v>0</v>
      </c>
    </row>
    <row r="1182" spans="1:9" s="108" customFormat="1" ht="12">
      <c r="A1182" s="118"/>
      <c r="B1182" s="118"/>
      <c r="C1182" s="384"/>
      <c r="D1182" s="384"/>
      <c r="E1182" s="385"/>
      <c r="F1182" s="386"/>
      <c r="G1182" s="387"/>
      <c r="H1182" s="107"/>
      <c r="I1182" s="107"/>
    </row>
    <row r="1183" spans="1:9" s="108" customFormat="1" ht="12">
      <c r="A1183" s="124"/>
      <c r="B1183" s="221"/>
      <c r="C1183" s="126" t="s">
        <v>160</v>
      </c>
      <c r="D1183" s="207"/>
      <c r="E1183" s="208"/>
      <c r="F1183" s="222"/>
      <c r="G1183" s="372">
        <f>SUM(G1081:G1181)</f>
        <v>0</v>
      </c>
      <c r="H1183" s="107"/>
      <c r="I1183" s="107"/>
    </row>
    <row r="1184" spans="1:9" s="108" customFormat="1" ht="12">
      <c r="A1184" s="101"/>
      <c r="B1184" s="339" t="s">
        <v>35</v>
      </c>
      <c r="C1184" s="340" t="s">
        <v>930</v>
      </c>
      <c r="D1184" s="341"/>
      <c r="E1184" s="342"/>
      <c r="F1184" s="342"/>
      <c r="G1184" s="343"/>
      <c r="H1184" s="107"/>
      <c r="I1184" s="107"/>
    </row>
    <row r="1185" spans="1:9" s="108" customFormat="1" ht="12">
      <c r="A1185" s="101" t="s">
        <v>931</v>
      </c>
      <c r="B1185" s="109" t="s">
        <v>932</v>
      </c>
      <c r="C1185" s="148" t="s">
        <v>933</v>
      </c>
      <c r="D1185" s="148" t="s">
        <v>157</v>
      </c>
      <c r="E1185" s="149">
        <v>954</v>
      </c>
      <c r="F1185" s="149">
        <v>0</v>
      </c>
      <c r="G1185" s="111">
        <f aca="true" t="shared" si="20" ref="G1185:G1190">PRODUCT(F1185*E1185)</f>
        <v>0</v>
      </c>
      <c r="H1185" s="107"/>
      <c r="I1185" s="107"/>
    </row>
    <row r="1186" spans="1:9" s="108" customFormat="1" ht="12">
      <c r="A1186" s="101" t="s">
        <v>934</v>
      </c>
      <c r="B1186" s="109" t="s">
        <v>935</v>
      </c>
      <c r="C1186" s="148" t="s">
        <v>936</v>
      </c>
      <c r="D1186" s="148" t="s">
        <v>157</v>
      </c>
      <c r="E1186" s="149">
        <v>71</v>
      </c>
      <c r="F1186" s="149">
        <v>0</v>
      </c>
      <c r="G1186" s="111">
        <f t="shared" si="20"/>
        <v>0</v>
      </c>
      <c r="H1186" s="107"/>
      <c r="I1186" s="107"/>
    </row>
    <row r="1187" spans="1:9" s="108" customFormat="1" ht="12">
      <c r="A1187" s="101" t="s">
        <v>937</v>
      </c>
      <c r="B1187" s="109" t="s">
        <v>938</v>
      </c>
      <c r="C1187" s="148" t="s">
        <v>939</v>
      </c>
      <c r="D1187" s="148" t="s">
        <v>157</v>
      </c>
      <c r="E1187" s="149">
        <v>32</v>
      </c>
      <c r="F1187" s="149">
        <v>0</v>
      </c>
      <c r="G1187" s="111">
        <f t="shared" si="20"/>
        <v>0</v>
      </c>
      <c r="H1187" s="107"/>
      <c r="I1187" s="107"/>
    </row>
    <row r="1188" spans="1:9" s="108" customFormat="1" ht="12">
      <c r="A1188" s="101" t="s">
        <v>940</v>
      </c>
      <c r="B1188" s="109" t="s">
        <v>941</v>
      </c>
      <c r="C1188" s="148" t="s">
        <v>942</v>
      </c>
      <c r="D1188" s="148" t="s">
        <v>157</v>
      </c>
      <c r="E1188" s="149">
        <v>38</v>
      </c>
      <c r="F1188" s="149">
        <v>0</v>
      </c>
      <c r="G1188" s="111">
        <f t="shared" si="20"/>
        <v>0</v>
      </c>
      <c r="H1188" s="107"/>
      <c r="I1188" s="107"/>
    </row>
    <row r="1189" spans="1:9" s="108" customFormat="1" ht="12">
      <c r="A1189" s="101" t="s">
        <v>943</v>
      </c>
      <c r="B1189" s="109" t="s">
        <v>944</v>
      </c>
      <c r="C1189" s="148" t="s">
        <v>945</v>
      </c>
      <c r="D1189" s="148" t="s">
        <v>157</v>
      </c>
      <c r="E1189" s="149">
        <v>80</v>
      </c>
      <c r="F1189" s="149">
        <v>0</v>
      </c>
      <c r="G1189" s="111">
        <f t="shared" si="20"/>
        <v>0</v>
      </c>
      <c r="H1189" s="107"/>
      <c r="I1189" s="107"/>
    </row>
    <row r="1190" spans="1:9" s="108" customFormat="1" ht="12">
      <c r="A1190" s="101" t="s">
        <v>946</v>
      </c>
      <c r="B1190" s="132" t="s">
        <v>947</v>
      </c>
      <c r="C1190" s="214" t="s">
        <v>948</v>
      </c>
      <c r="D1190" s="214" t="s">
        <v>157</v>
      </c>
      <c r="E1190" s="215">
        <v>1940</v>
      </c>
      <c r="F1190" s="215">
        <v>0</v>
      </c>
      <c r="G1190" s="135">
        <f t="shared" si="20"/>
        <v>0</v>
      </c>
      <c r="H1190" s="107"/>
      <c r="I1190" s="107"/>
    </row>
    <row r="1191" spans="1:9" s="108" customFormat="1" ht="12">
      <c r="A1191" s="124"/>
      <c r="B1191" s="221"/>
      <c r="C1191" s="126" t="s">
        <v>160</v>
      </c>
      <c r="D1191" s="207"/>
      <c r="E1191" s="208"/>
      <c r="F1191" s="222"/>
      <c r="G1191" s="372">
        <f>SUM(G1185:G1190)</f>
        <v>0</v>
      </c>
      <c r="H1191" s="107"/>
      <c r="I1191" s="107"/>
    </row>
    <row r="1192" spans="1:9" s="108" customFormat="1" ht="12">
      <c r="A1192" s="101"/>
      <c r="B1192" s="339" t="s">
        <v>37</v>
      </c>
      <c r="C1192" s="340" t="s">
        <v>949</v>
      </c>
      <c r="D1192" s="341"/>
      <c r="E1192" s="342"/>
      <c r="F1192" s="342"/>
      <c r="G1192" s="343"/>
      <c r="H1192" s="107"/>
      <c r="I1192" s="107"/>
    </row>
    <row r="1193" spans="1:9" s="108" customFormat="1" ht="12">
      <c r="A1193" s="101" t="s">
        <v>950</v>
      </c>
      <c r="B1193" s="109" t="s">
        <v>951</v>
      </c>
      <c r="C1193" s="148" t="s">
        <v>952</v>
      </c>
      <c r="D1193" s="148" t="s">
        <v>83</v>
      </c>
      <c r="E1193" s="149">
        <v>1</v>
      </c>
      <c r="F1193" s="149">
        <v>0</v>
      </c>
      <c r="G1193" s="111">
        <f aca="true" t="shared" si="21" ref="G1193:G1204">PRODUCT(F1193*E1193)</f>
        <v>0</v>
      </c>
      <c r="H1193" s="107"/>
      <c r="I1193" s="107"/>
    </row>
    <row r="1194" spans="1:9" s="108" customFormat="1" ht="12">
      <c r="A1194" s="101" t="s">
        <v>953</v>
      </c>
      <c r="B1194" s="109" t="s">
        <v>954</v>
      </c>
      <c r="C1194" s="148" t="s">
        <v>955</v>
      </c>
      <c r="D1194" s="148" t="s">
        <v>83</v>
      </c>
      <c r="E1194" s="149">
        <v>1</v>
      </c>
      <c r="F1194" s="149">
        <v>0</v>
      </c>
      <c r="G1194" s="111">
        <f t="shared" si="21"/>
        <v>0</v>
      </c>
      <c r="H1194" s="107"/>
      <c r="I1194" s="107"/>
    </row>
    <row r="1195" spans="1:9" s="108" customFormat="1" ht="12">
      <c r="A1195" s="101" t="s">
        <v>956</v>
      </c>
      <c r="B1195" s="109" t="s">
        <v>957</v>
      </c>
      <c r="C1195" s="148" t="s">
        <v>958</v>
      </c>
      <c r="D1195" s="148" t="s">
        <v>83</v>
      </c>
      <c r="E1195" s="149">
        <v>4</v>
      </c>
      <c r="F1195" s="149">
        <v>0</v>
      </c>
      <c r="G1195" s="111">
        <f t="shared" si="21"/>
        <v>0</v>
      </c>
      <c r="H1195" s="107"/>
      <c r="I1195" s="107"/>
    </row>
    <row r="1196" spans="1:9" s="108" customFormat="1" ht="12">
      <c r="A1196" s="101" t="s">
        <v>959</v>
      </c>
      <c r="B1196" s="109" t="s">
        <v>960</v>
      </c>
      <c r="C1196" s="148" t="s">
        <v>961</v>
      </c>
      <c r="D1196" s="148" t="s">
        <v>83</v>
      </c>
      <c r="E1196" s="149">
        <v>1</v>
      </c>
      <c r="F1196" s="149">
        <v>0</v>
      </c>
      <c r="G1196" s="111">
        <f t="shared" si="21"/>
        <v>0</v>
      </c>
      <c r="H1196" s="107"/>
      <c r="I1196" s="107"/>
    </row>
    <row r="1197" spans="1:9" s="108" customFormat="1" ht="12">
      <c r="A1197" s="101" t="s">
        <v>962</v>
      </c>
      <c r="B1197" s="109" t="s">
        <v>963</v>
      </c>
      <c r="C1197" s="148" t="s">
        <v>964</v>
      </c>
      <c r="D1197" s="148" t="s">
        <v>83</v>
      </c>
      <c r="E1197" s="149">
        <v>2</v>
      </c>
      <c r="F1197" s="149">
        <v>0</v>
      </c>
      <c r="G1197" s="111">
        <f t="shared" si="21"/>
        <v>0</v>
      </c>
      <c r="H1197" s="107"/>
      <c r="I1197" s="107"/>
    </row>
    <row r="1198" spans="1:9" s="108" customFormat="1" ht="12">
      <c r="A1198" s="101" t="s">
        <v>965</v>
      </c>
      <c r="B1198" s="109" t="s">
        <v>966</v>
      </c>
      <c r="C1198" s="148" t="s">
        <v>967</v>
      </c>
      <c r="D1198" s="148" t="s">
        <v>83</v>
      </c>
      <c r="E1198" s="149">
        <v>1</v>
      </c>
      <c r="F1198" s="149">
        <v>0</v>
      </c>
      <c r="G1198" s="111">
        <f t="shared" si="21"/>
        <v>0</v>
      </c>
      <c r="H1198" s="107"/>
      <c r="I1198" s="107"/>
    </row>
    <row r="1199" spans="1:9" s="108" customFormat="1" ht="12">
      <c r="A1199" s="101" t="s">
        <v>968</v>
      </c>
      <c r="B1199" s="109" t="s">
        <v>969</v>
      </c>
      <c r="C1199" s="148" t="s">
        <v>970</v>
      </c>
      <c r="D1199" s="148" t="s">
        <v>83</v>
      </c>
      <c r="E1199" s="149">
        <v>2</v>
      </c>
      <c r="F1199" s="149">
        <v>0</v>
      </c>
      <c r="G1199" s="111">
        <f t="shared" si="21"/>
        <v>0</v>
      </c>
      <c r="H1199" s="107"/>
      <c r="I1199" s="107"/>
    </row>
    <row r="1200" spans="1:9" s="108" customFormat="1" ht="12">
      <c r="A1200" s="101" t="s">
        <v>971</v>
      </c>
      <c r="B1200" s="109" t="s">
        <v>972</v>
      </c>
      <c r="C1200" s="148" t="s">
        <v>973</v>
      </c>
      <c r="D1200" s="148" t="s">
        <v>83</v>
      </c>
      <c r="E1200" s="149">
        <v>2</v>
      </c>
      <c r="F1200" s="149">
        <v>0</v>
      </c>
      <c r="G1200" s="111">
        <f t="shared" si="21"/>
        <v>0</v>
      </c>
      <c r="H1200" s="107"/>
      <c r="I1200" s="107"/>
    </row>
    <row r="1201" spans="1:9" s="108" customFormat="1" ht="12">
      <c r="A1201" s="101" t="s">
        <v>974</v>
      </c>
      <c r="B1201" s="109" t="s">
        <v>975</v>
      </c>
      <c r="C1201" s="148" t="s">
        <v>976</v>
      </c>
      <c r="D1201" s="148" t="s">
        <v>83</v>
      </c>
      <c r="E1201" s="149">
        <v>2</v>
      </c>
      <c r="F1201" s="149">
        <v>0</v>
      </c>
      <c r="G1201" s="111">
        <f t="shared" si="21"/>
        <v>0</v>
      </c>
      <c r="H1201" s="107"/>
      <c r="I1201" s="107"/>
    </row>
    <row r="1202" spans="1:9" s="108" customFormat="1" ht="12">
      <c r="A1202" s="101" t="s">
        <v>977</v>
      </c>
      <c r="B1202" s="109" t="s">
        <v>978</v>
      </c>
      <c r="C1202" s="148" t="s">
        <v>979</v>
      </c>
      <c r="D1202" s="148" t="s">
        <v>83</v>
      </c>
      <c r="E1202" s="149">
        <v>2</v>
      </c>
      <c r="F1202" s="149">
        <v>0</v>
      </c>
      <c r="G1202" s="111">
        <f t="shared" si="21"/>
        <v>0</v>
      </c>
      <c r="H1202" s="107"/>
      <c r="I1202" s="107"/>
    </row>
    <row r="1203" spans="1:9" s="108" customFormat="1" ht="12">
      <c r="A1203" s="101" t="s">
        <v>980</v>
      </c>
      <c r="B1203" s="109" t="s">
        <v>981</v>
      </c>
      <c r="C1203" s="148" t="s">
        <v>982</v>
      </c>
      <c r="D1203" s="148" t="s">
        <v>83</v>
      </c>
      <c r="E1203" s="149">
        <v>2</v>
      </c>
      <c r="F1203" s="149">
        <v>0</v>
      </c>
      <c r="G1203" s="111">
        <f t="shared" si="21"/>
        <v>0</v>
      </c>
      <c r="H1203" s="107"/>
      <c r="I1203" s="107"/>
    </row>
    <row r="1204" spans="1:9" s="108" customFormat="1" ht="12">
      <c r="A1204" s="101" t="s">
        <v>983</v>
      </c>
      <c r="B1204" s="132" t="s">
        <v>984</v>
      </c>
      <c r="C1204" s="214" t="s">
        <v>985</v>
      </c>
      <c r="D1204" s="214" t="s">
        <v>83</v>
      </c>
      <c r="E1204" s="215">
        <v>1</v>
      </c>
      <c r="F1204" s="215">
        <v>0</v>
      </c>
      <c r="G1204" s="135">
        <f t="shared" si="21"/>
        <v>0</v>
      </c>
      <c r="H1204" s="107"/>
      <c r="I1204" s="107"/>
    </row>
    <row r="1205" spans="1:9" s="108" customFormat="1" ht="12">
      <c r="A1205" s="124"/>
      <c r="B1205" s="221"/>
      <c r="C1205" s="126" t="s">
        <v>160</v>
      </c>
      <c r="D1205" s="207"/>
      <c r="E1205" s="208"/>
      <c r="F1205" s="222"/>
      <c r="G1205" s="372">
        <f>SUM(G1193:G1204)</f>
        <v>0</v>
      </c>
      <c r="H1205" s="107"/>
      <c r="I1205" s="107"/>
    </row>
    <row r="1206" spans="1:9" s="108" customFormat="1" ht="12">
      <c r="A1206" s="101"/>
      <c r="B1206" s="339" t="s">
        <v>39</v>
      </c>
      <c r="C1206" s="340" t="s">
        <v>986</v>
      </c>
      <c r="D1206" s="341"/>
      <c r="E1206" s="342"/>
      <c r="F1206" s="342"/>
      <c r="G1206" s="343"/>
      <c r="H1206" s="107"/>
      <c r="I1206" s="107"/>
    </row>
    <row r="1207" spans="1:9" s="108" customFormat="1" ht="12">
      <c r="A1207" s="101" t="s">
        <v>987</v>
      </c>
      <c r="B1207" s="109" t="s">
        <v>988</v>
      </c>
      <c r="C1207" s="148" t="s">
        <v>989</v>
      </c>
      <c r="D1207" s="148" t="s">
        <v>83</v>
      </c>
      <c r="E1207" s="149">
        <v>1</v>
      </c>
      <c r="F1207" s="149">
        <v>0</v>
      </c>
      <c r="G1207" s="111">
        <f aca="true" t="shared" si="22" ref="G1207:G1213">PRODUCT(F1207*E1207)</f>
        <v>0</v>
      </c>
      <c r="H1207" s="107"/>
      <c r="I1207" s="107"/>
    </row>
    <row r="1208" spans="1:9" s="108" customFormat="1" ht="12">
      <c r="A1208" s="101" t="s">
        <v>990</v>
      </c>
      <c r="B1208" s="109" t="s">
        <v>991</v>
      </c>
      <c r="C1208" s="148" t="s">
        <v>992</v>
      </c>
      <c r="D1208" s="148" t="s">
        <v>83</v>
      </c>
      <c r="E1208" s="149">
        <v>1</v>
      </c>
      <c r="F1208" s="149">
        <v>0</v>
      </c>
      <c r="G1208" s="111">
        <f t="shared" si="22"/>
        <v>0</v>
      </c>
      <c r="H1208" s="107"/>
      <c r="I1208" s="107"/>
    </row>
    <row r="1209" spans="1:9" s="108" customFormat="1" ht="12">
      <c r="A1209" s="101" t="s">
        <v>993</v>
      </c>
      <c r="B1209" s="109" t="s">
        <v>994</v>
      </c>
      <c r="C1209" s="148" t="s">
        <v>995</v>
      </c>
      <c r="D1209" s="148" t="s">
        <v>83</v>
      </c>
      <c r="E1209" s="149">
        <v>1</v>
      </c>
      <c r="F1209" s="149">
        <v>0</v>
      </c>
      <c r="G1209" s="111">
        <f t="shared" si="22"/>
        <v>0</v>
      </c>
      <c r="H1209" s="107"/>
      <c r="I1209" s="107"/>
    </row>
    <row r="1210" spans="1:9" s="108" customFormat="1" ht="12">
      <c r="A1210" s="101" t="s">
        <v>996</v>
      </c>
      <c r="B1210" s="109" t="s">
        <v>997</v>
      </c>
      <c r="C1210" s="148" t="s">
        <v>998</v>
      </c>
      <c r="D1210" s="148" t="s">
        <v>83</v>
      </c>
      <c r="E1210" s="149">
        <v>25</v>
      </c>
      <c r="F1210" s="149">
        <v>0</v>
      </c>
      <c r="G1210" s="111">
        <f t="shared" si="22"/>
        <v>0</v>
      </c>
      <c r="H1210" s="107"/>
      <c r="I1210" s="107"/>
    </row>
    <row r="1211" spans="1:9" s="108" customFormat="1" ht="12">
      <c r="A1211" s="101" t="s">
        <v>999</v>
      </c>
      <c r="B1211" s="109" t="s">
        <v>1000</v>
      </c>
      <c r="C1211" s="148" t="s">
        <v>1001</v>
      </c>
      <c r="D1211" s="148" t="s">
        <v>83</v>
      </c>
      <c r="E1211" s="149">
        <v>1</v>
      </c>
      <c r="F1211" s="149">
        <v>0</v>
      </c>
      <c r="G1211" s="111">
        <f t="shared" si="22"/>
        <v>0</v>
      </c>
      <c r="H1211" s="107"/>
      <c r="I1211" s="107"/>
    </row>
    <row r="1212" spans="1:9" s="108" customFormat="1" ht="12">
      <c r="A1212" s="101" t="s">
        <v>1002</v>
      </c>
      <c r="B1212" s="109" t="s">
        <v>1003</v>
      </c>
      <c r="C1212" s="148" t="s">
        <v>1004</v>
      </c>
      <c r="D1212" s="148" t="s">
        <v>83</v>
      </c>
      <c r="E1212" s="149">
        <v>3</v>
      </c>
      <c r="F1212" s="149">
        <v>0</v>
      </c>
      <c r="G1212" s="111">
        <f t="shared" si="22"/>
        <v>0</v>
      </c>
      <c r="H1212" s="107"/>
      <c r="I1212" s="107"/>
    </row>
    <row r="1213" spans="1:9" s="108" customFormat="1" ht="12">
      <c r="A1213" s="101" t="s">
        <v>1005</v>
      </c>
      <c r="B1213" s="132" t="s">
        <v>1006</v>
      </c>
      <c r="C1213" s="214" t="s">
        <v>1007</v>
      </c>
      <c r="D1213" s="214" t="s">
        <v>83</v>
      </c>
      <c r="E1213" s="215">
        <v>1</v>
      </c>
      <c r="F1213" s="215">
        <v>0</v>
      </c>
      <c r="G1213" s="135">
        <f t="shared" si="22"/>
        <v>0</v>
      </c>
      <c r="H1213" s="107"/>
      <c r="I1213" s="107"/>
    </row>
    <row r="1214" spans="1:9" s="108" customFormat="1" ht="12">
      <c r="A1214" s="124"/>
      <c r="B1214" s="221"/>
      <c r="C1214" s="126" t="s">
        <v>160</v>
      </c>
      <c r="D1214" s="207"/>
      <c r="E1214" s="208"/>
      <c r="F1214" s="222"/>
      <c r="G1214" s="372">
        <f>SUM(G1207:G1213)</f>
        <v>0</v>
      </c>
      <c r="H1214" s="107"/>
      <c r="I1214" s="107"/>
    </row>
    <row r="1215" spans="1:9" s="108" customFormat="1" ht="12">
      <c r="A1215" s="101"/>
      <c r="B1215" s="339" t="s">
        <v>41</v>
      </c>
      <c r="C1215" s="340" t="s">
        <v>1008</v>
      </c>
      <c r="D1215" s="341"/>
      <c r="E1215" s="342"/>
      <c r="F1215" s="342"/>
      <c r="G1215" s="343"/>
      <c r="H1215" s="107"/>
      <c r="I1215" s="107"/>
    </row>
    <row r="1216" spans="1:9" s="108" customFormat="1" ht="12">
      <c r="A1216" s="101" t="s">
        <v>1009</v>
      </c>
      <c r="B1216" s="109" t="s">
        <v>1010</v>
      </c>
      <c r="C1216" s="148" t="s">
        <v>1011</v>
      </c>
      <c r="D1216" s="148" t="s">
        <v>83</v>
      </c>
      <c r="E1216" s="149">
        <v>22</v>
      </c>
      <c r="F1216" s="149">
        <v>0</v>
      </c>
      <c r="G1216" s="111">
        <f aca="true" t="shared" si="23" ref="G1216:G1224">PRODUCT(F1216*E1216)</f>
        <v>0</v>
      </c>
      <c r="H1216" s="107"/>
      <c r="I1216" s="107"/>
    </row>
    <row r="1217" spans="1:9" s="108" customFormat="1" ht="12">
      <c r="A1217" s="101" t="s">
        <v>1012</v>
      </c>
      <c r="B1217" s="109" t="s">
        <v>1013</v>
      </c>
      <c r="C1217" s="148" t="s">
        <v>1014</v>
      </c>
      <c r="D1217" s="148" t="s">
        <v>83</v>
      </c>
      <c r="E1217" s="149">
        <v>92</v>
      </c>
      <c r="F1217" s="149">
        <v>0</v>
      </c>
      <c r="G1217" s="111">
        <f t="shared" si="23"/>
        <v>0</v>
      </c>
      <c r="H1217" s="107"/>
      <c r="I1217" s="107"/>
    </row>
    <row r="1218" spans="1:9" s="108" customFormat="1" ht="12">
      <c r="A1218" s="101" t="s">
        <v>1015</v>
      </c>
      <c r="B1218" s="109" t="s">
        <v>1016</v>
      </c>
      <c r="C1218" s="148" t="s">
        <v>1017</v>
      </c>
      <c r="D1218" s="148" t="s">
        <v>83</v>
      </c>
      <c r="E1218" s="149">
        <v>78</v>
      </c>
      <c r="F1218" s="149">
        <v>0</v>
      </c>
      <c r="G1218" s="111">
        <f t="shared" si="23"/>
        <v>0</v>
      </c>
      <c r="H1218" s="107"/>
      <c r="I1218" s="107"/>
    </row>
    <row r="1219" spans="1:9" s="108" customFormat="1" ht="12">
      <c r="A1219" s="101" t="s">
        <v>1018</v>
      </c>
      <c r="B1219" s="109" t="s">
        <v>1019</v>
      </c>
      <c r="C1219" s="148" t="s">
        <v>1020</v>
      </c>
      <c r="D1219" s="148" t="s">
        <v>83</v>
      </c>
      <c r="E1219" s="149">
        <v>18</v>
      </c>
      <c r="F1219" s="149">
        <v>0</v>
      </c>
      <c r="G1219" s="111">
        <f t="shared" si="23"/>
        <v>0</v>
      </c>
      <c r="H1219" s="107"/>
      <c r="I1219" s="107"/>
    </row>
    <row r="1220" spans="1:9" s="108" customFormat="1" ht="12">
      <c r="A1220" s="101" t="s">
        <v>1021</v>
      </c>
      <c r="B1220" s="109" t="s">
        <v>1022</v>
      </c>
      <c r="C1220" s="148" t="s">
        <v>1023</v>
      </c>
      <c r="D1220" s="148" t="s">
        <v>83</v>
      </c>
      <c r="E1220" s="149">
        <v>1</v>
      </c>
      <c r="F1220" s="149">
        <v>0</v>
      </c>
      <c r="G1220" s="111">
        <f t="shared" si="23"/>
        <v>0</v>
      </c>
      <c r="H1220" s="107"/>
      <c r="I1220" s="107"/>
    </row>
    <row r="1221" spans="1:9" s="108" customFormat="1" ht="12">
      <c r="A1221" s="101" t="s">
        <v>1024</v>
      </c>
      <c r="B1221" s="109" t="s">
        <v>1025</v>
      </c>
      <c r="C1221" s="148" t="s">
        <v>1026</v>
      </c>
      <c r="D1221" s="148" t="s">
        <v>83</v>
      </c>
      <c r="E1221" s="149">
        <v>3</v>
      </c>
      <c r="F1221" s="149">
        <v>0</v>
      </c>
      <c r="G1221" s="111">
        <f t="shared" si="23"/>
        <v>0</v>
      </c>
      <c r="H1221" s="107"/>
      <c r="I1221" s="107"/>
    </row>
    <row r="1222" spans="1:9" s="108" customFormat="1" ht="12">
      <c r="A1222" s="101" t="s">
        <v>1027</v>
      </c>
      <c r="B1222" s="109" t="s">
        <v>1028</v>
      </c>
      <c r="C1222" s="148" t="s">
        <v>1029</v>
      </c>
      <c r="D1222" s="148" t="s">
        <v>83</v>
      </c>
      <c r="E1222" s="149">
        <v>204</v>
      </c>
      <c r="F1222" s="149">
        <v>0</v>
      </c>
      <c r="G1222" s="111">
        <f t="shared" si="23"/>
        <v>0</v>
      </c>
      <c r="H1222" s="107"/>
      <c r="I1222" s="107"/>
    </row>
    <row r="1223" spans="1:9" s="108" customFormat="1" ht="12">
      <c r="A1223" s="101" t="s">
        <v>1030</v>
      </c>
      <c r="B1223" s="109" t="s">
        <v>1031</v>
      </c>
      <c r="C1223" s="148" t="s">
        <v>1032</v>
      </c>
      <c r="D1223" s="148" t="s">
        <v>83</v>
      </c>
      <c r="E1223" s="149">
        <v>102</v>
      </c>
      <c r="F1223" s="149">
        <v>0</v>
      </c>
      <c r="G1223" s="111">
        <f t="shared" si="23"/>
        <v>0</v>
      </c>
      <c r="H1223" s="107"/>
      <c r="I1223" s="107"/>
    </row>
    <row r="1224" spans="1:9" s="108" customFormat="1" ht="12">
      <c r="A1224" s="131" t="s">
        <v>1033</v>
      </c>
      <c r="B1224" s="132" t="s">
        <v>1034</v>
      </c>
      <c r="C1224" s="214" t="s">
        <v>1035</v>
      </c>
      <c r="D1224" s="214" t="s">
        <v>83</v>
      </c>
      <c r="E1224" s="215">
        <v>1</v>
      </c>
      <c r="F1224" s="215">
        <v>0</v>
      </c>
      <c r="G1224" s="135">
        <f t="shared" si="23"/>
        <v>0</v>
      </c>
      <c r="H1224" s="107"/>
      <c r="I1224" s="107"/>
    </row>
    <row r="1225" spans="1:9" s="108" customFormat="1" ht="12">
      <c r="A1225" s="124"/>
      <c r="B1225" s="221"/>
      <c r="C1225" s="126" t="s">
        <v>160</v>
      </c>
      <c r="D1225" s="207"/>
      <c r="E1225" s="208"/>
      <c r="F1225" s="222"/>
      <c r="G1225" s="372">
        <f>SUM(G1216:G1224)</f>
        <v>0</v>
      </c>
      <c r="H1225" s="107"/>
      <c r="I1225" s="107"/>
    </row>
    <row r="1226" spans="1:9" s="108" customFormat="1" ht="12">
      <c r="A1226" s="101"/>
      <c r="B1226" s="339" t="s">
        <v>43</v>
      </c>
      <c r="C1226" s="340" t="s">
        <v>1036</v>
      </c>
      <c r="D1226" s="341"/>
      <c r="E1226" s="342"/>
      <c r="F1226" s="342"/>
      <c r="G1226" s="343"/>
      <c r="H1226" s="107"/>
      <c r="I1226" s="107"/>
    </row>
    <row r="1227" spans="1:9" s="108" customFormat="1" ht="12">
      <c r="A1227" s="101" t="s">
        <v>1037</v>
      </c>
      <c r="B1227" s="388" t="s">
        <v>1038</v>
      </c>
      <c r="C1227" s="148" t="s">
        <v>1039</v>
      </c>
      <c r="D1227" s="148" t="s">
        <v>157</v>
      </c>
      <c r="E1227" s="149">
        <v>37</v>
      </c>
      <c r="F1227" s="149">
        <v>0</v>
      </c>
      <c r="G1227" s="111">
        <f aca="true" t="shared" si="24" ref="G1227:G1236">PRODUCT(F1227*E1227)</f>
        <v>0</v>
      </c>
      <c r="H1227" s="107"/>
      <c r="I1227" s="107"/>
    </row>
    <row r="1228" spans="1:9" s="108" customFormat="1" ht="12">
      <c r="A1228" s="101" t="s">
        <v>1040</v>
      </c>
      <c r="B1228" s="388" t="s">
        <v>1041</v>
      </c>
      <c r="C1228" s="148" t="s">
        <v>1042</v>
      </c>
      <c r="D1228" s="148" t="s">
        <v>157</v>
      </c>
      <c r="E1228" s="149">
        <v>37</v>
      </c>
      <c r="F1228" s="149">
        <v>0</v>
      </c>
      <c r="G1228" s="111">
        <f t="shared" si="24"/>
        <v>0</v>
      </c>
      <c r="H1228" s="107"/>
      <c r="I1228" s="107"/>
    </row>
    <row r="1229" spans="1:9" s="108" customFormat="1" ht="12">
      <c r="A1229" s="101" t="s">
        <v>1043</v>
      </c>
      <c r="B1229" s="388" t="s">
        <v>1044</v>
      </c>
      <c r="C1229" s="148" t="s">
        <v>1045</v>
      </c>
      <c r="D1229" s="148" t="s">
        <v>83</v>
      </c>
      <c r="E1229" s="149">
        <v>85</v>
      </c>
      <c r="F1229" s="149">
        <v>0</v>
      </c>
      <c r="G1229" s="111">
        <f t="shared" si="24"/>
        <v>0</v>
      </c>
      <c r="H1229" s="107"/>
      <c r="I1229" s="107"/>
    </row>
    <row r="1230" spans="1:9" s="108" customFormat="1" ht="12">
      <c r="A1230" s="101" t="s">
        <v>1046</v>
      </c>
      <c r="B1230" s="388" t="s">
        <v>1047</v>
      </c>
      <c r="C1230" s="148" t="s">
        <v>1048</v>
      </c>
      <c r="D1230" s="148" t="s">
        <v>157</v>
      </c>
      <c r="E1230" s="149">
        <v>151</v>
      </c>
      <c r="F1230" s="149">
        <v>0</v>
      </c>
      <c r="G1230" s="111">
        <f t="shared" si="24"/>
        <v>0</v>
      </c>
      <c r="H1230" s="107"/>
      <c r="I1230" s="107"/>
    </row>
    <row r="1231" spans="1:9" s="108" customFormat="1" ht="12">
      <c r="A1231" s="101" t="s">
        <v>1049</v>
      </c>
      <c r="B1231" s="388" t="s">
        <v>1050</v>
      </c>
      <c r="C1231" s="148" t="s">
        <v>1051</v>
      </c>
      <c r="D1231" s="148" t="s">
        <v>157</v>
      </c>
      <c r="E1231" s="149">
        <v>12</v>
      </c>
      <c r="F1231" s="149">
        <v>0</v>
      </c>
      <c r="G1231" s="111">
        <f t="shared" si="24"/>
        <v>0</v>
      </c>
      <c r="H1231" s="107"/>
      <c r="I1231" s="107"/>
    </row>
    <row r="1232" spans="1:9" s="108" customFormat="1" ht="12">
      <c r="A1232" s="101" t="s">
        <v>1052</v>
      </c>
      <c r="B1232" s="205" t="s">
        <v>1053</v>
      </c>
      <c r="C1232" s="148" t="s">
        <v>1054</v>
      </c>
      <c r="D1232" s="148" t="s">
        <v>157</v>
      </c>
      <c r="E1232" s="149">
        <v>73</v>
      </c>
      <c r="F1232" s="149">
        <v>0</v>
      </c>
      <c r="G1232" s="111">
        <f t="shared" si="24"/>
        <v>0</v>
      </c>
      <c r="H1232" s="107"/>
      <c r="I1232" s="107"/>
    </row>
    <row r="1233" spans="1:9" s="108" customFormat="1" ht="12">
      <c r="A1233" s="101" t="s">
        <v>1055</v>
      </c>
      <c r="B1233" s="205" t="s">
        <v>1056</v>
      </c>
      <c r="C1233" s="148" t="s">
        <v>1057</v>
      </c>
      <c r="D1233" s="148" t="s">
        <v>157</v>
      </c>
      <c r="E1233" s="149">
        <v>73</v>
      </c>
      <c r="F1233" s="149">
        <v>0</v>
      </c>
      <c r="G1233" s="111">
        <f t="shared" si="24"/>
        <v>0</v>
      </c>
      <c r="H1233" s="107"/>
      <c r="I1233" s="107"/>
    </row>
    <row r="1234" spans="1:9" s="108" customFormat="1" ht="12">
      <c r="A1234" s="101" t="s">
        <v>1058</v>
      </c>
      <c r="B1234" s="205" t="s">
        <v>1059</v>
      </c>
      <c r="C1234" s="148" t="s">
        <v>1060</v>
      </c>
      <c r="D1234" s="148" t="s">
        <v>83</v>
      </c>
      <c r="E1234" s="149">
        <v>55</v>
      </c>
      <c r="F1234" s="149">
        <v>0</v>
      </c>
      <c r="G1234" s="111">
        <f t="shared" si="24"/>
        <v>0</v>
      </c>
      <c r="H1234" s="107"/>
      <c r="I1234" s="107"/>
    </row>
    <row r="1235" spans="1:9" s="108" customFormat="1" ht="12">
      <c r="A1235" s="101" t="s">
        <v>1061</v>
      </c>
      <c r="B1235" s="205" t="s">
        <v>1062</v>
      </c>
      <c r="C1235" s="148" t="s">
        <v>1063</v>
      </c>
      <c r="D1235" s="148" t="s">
        <v>83</v>
      </c>
      <c r="E1235" s="149">
        <v>350</v>
      </c>
      <c r="F1235" s="149">
        <v>0</v>
      </c>
      <c r="G1235" s="111">
        <f t="shared" si="24"/>
        <v>0</v>
      </c>
      <c r="H1235" s="107"/>
      <c r="I1235" s="107"/>
    </row>
    <row r="1236" spans="1:9" s="108" customFormat="1" ht="12">
      <c r="A1236" s="131" t="s">
        <v>1064</v>
      </c>
      <c r="B1236" s="389" t="s">
        <v>1065</v>
      </c>
      <c r="C1236" s="214" t="s">
        <v>1066</v>
      </c>
      <c r="D1236" s="214" t="s">
        <v>83</v>
      </c>
      <c r="E1236" s="215">
        <v>1500</v>
      </c>
      <c r="F1236" s="215">
        <v>0</v>
      </c>
      <c r="G1236" s="135">
        <f t="shared" si="24"/>
        <v>0</v>
      </c>
      <c r="H1236" s="107"/>
      <c r="I1236" s="107"/>
    </row>
    <row r="1237" spans="1:9" s="108" customFormat="1" ht="12">
      <c r="A1237" s="124"/>
      <c r="B1237" s="221"/>
      <c r="C1237" s="126" t="s">
        <v>160</v>
      </c>
      <c r="D1237" s="207"/>
      <c r="E1237" s="208"/>
      <c r="F1237" s="222"/>
      <c r="G1237" s="372">
        <f>SUM(G1227:G1236)</f>
        <v>0</v>
      </c>
      <c r="H1237" s="107"/>
      <c r="I1237" s="107"/>
    </row>
    <row r="1238" spans="1:9" s="108" customFormat="1" ht="12">
      <c r="A1238" s="101"/>
      <c r="B1238" s="339" t="s">
        <v>45</v>
      </c>
      <c r="C1238" s="340" t="s">
        <v>1067</v>
      </c>
      <c r="D1238" s="341"/>
      <c r="E1238" s="342"/>
      <c r="F1238" s="342"/>
      <c r="G1238" s="343"/>
      <c r="H1238" s="107"/>
      <c r="I1238" s="107"/>
    </row>
    <row r="1239" spans="1:9" s="108" customFormat="1" ht="12">
      <c r="A1239" s="101" t="s">
        <v>1068</v>
      </c>
      <c r="B1239" s="109" t="s">
        <v>1069</v>
      </c>
      <c r="C1239" s="148" t="s">
        <v>1070</v>
      </c>
      <c r="D1239" s="148" t="s">
        <v>83</v>
      </c>
      <c r="E1239" s="149">
        <v>5</v>
      </c>
      <c r="F1239" s="149">
        <v>0</v>
      </c>
      <c r="G1239" s="111">
        <f aca="true" t="shared" si="25" ref="G1239:G1244">PRODUCT(F1239*E1239)</f>
        <v>0</v>
      </c>
      <c r="H1239" s="107"/>
      <c r="I1239" s="107"/>
    </row>
    <row r="1240" spans="1:9" s="108" customFormat="1" ht="12">
      <c r="A1240" s="101" t="s">
        <v>1071</v>
      </c>
      <c r="B1240" s="109" t="s">
        <v>1072</v>
      </c>
      <c r="C1240" s="148" t="s">
        <v>1073</v>
      </c>
      <c r="D1240" s="148" t="s">
        <v>83</v>
      </c>
      <c r="E1240" s="149">
        <v>1</v>
      </c>
      <c r="F1240" s="149">
        <v>0</v>
      </c>
      <c r="G1240" s="111">
        <f t="shared" si="25"/>
        <v>0</v>
      </c>
      <c r="H1240" s="107"/>
      <c r="I1240" s="107"/>
    </row>
    <row r="1241" spans="1:9" s="108" customFormat="1" ht="12">
      <c r="A1241" s="101" t="s">
        <v>1074</v>
      </c>
      <c r="B1241" s="109" t="s">
        <v>1075</v>
      </c>
      <c r="C1241" s="148" t="s">
        <v>1076</v>
      </c>
      <c r="D1241" s="148" t="s">
        <v>83</v>
      </c>
      <c r="E1241" s="149">
        <v>5</v>
      </c>
      <c r="F1241" s="149">
        <v>0</v>
      </c>
      <c r="G1241" s="111">
        <f t="shared" si="25"/>
        <v>0</v>
      </c>
      <c r="H1241" s="107"/>
      <c r="I1241" s="107"/>
    </row>
    <row r="1242" spans="1:9" s="108" customFormat="1" ht="12">
      <c r="A1242" s="101" t="s">
        <v>1077</v>
      </c>
      <c r="B1242" s="109" t="s">
        <v>1078</v>
      </c>
      <c r="C1242" s="148" t="s">
        <v>1079</v>
      </c>
      <c r="D1242" s="148" t="s">
        <v>83</v>
      </c>
      <c r="E1242" s="149">
        <v>1</v>
      </c>
      <c r="F1242" s="149">
        <v>0</v>
      </c>
      <c r="G1242" s="111">
        <f t="shared" si="25"/>
        <v>0</v>
      </c>
      <c r="H1242" s="107"/>
      <c r="I1242" s="107"/>
    </row>
    <row r="1243" spans="1:9" s="108" customFormat="1" ht="12">
      <c r="A1243" s="101" t="s">
        <v>1080</v>
      </c>
      <c r="B1243" s="109" t="s">
        <v>1081</v>
      </c>
      <c r="C1243" s="148" t="s">
        <v>1082</v>
      </c>
      <c r="D1243" s="148" t="s">
        <v>83</v>
      </c>
      <c r="E1243" s="149">
        <v>1</v>
      </c>
      <c r="F1243" s="149">
        <v>0</v>
      </c>
      <c r="G1243" s="111">
        <f t="shared" si="25"/>
        <v>0</v>
      </c>
      <c r="H1243" s="107"/>
      <c r="I1243" s="107"/>
    </row>
    <row r="1244" spans="1:9" s="108" customFormat="1" ht="12">
      <c r="A1244" s="101" t="s">
        <v>1083</v>
      </c>
      <c r="B1244" s="132" t="s">
        <v>1084</v>
      </c>
      <c r="C1244" s="214" t="s">
        <v>1085</v>
      </c>
      <c r="D1244" s="214" t="s">
        <v>83</v>
      </c>
      <c r="E1244" s="215">
        <v>14</v>
      </c>
      <c r="F1244" s="215">
        <v>0</v>
      </c>
      <c r="G1244" s="135">
        <f t="shared" si="25"/>
        <v>0</v>
      </c>
      <c r="H1244" s="107"/>
      <c r="I1244" s="107"/>
    </row>
    <row r="1245" spans="1:9" s="108" customFormat="1" ht="12">
      <c r="A1245" s="124"/>
      <c r="B1245" s="221"/>
      <c r="C1245" s="126" t="s">
        <v>160</v>
      </c>
      <c r="D1245" s="207"/>
      <c r="E1245" s="208"/>
      <c r="F1245" s="222"/>
      <c r="G1245" s="372">
        <f>SUM(G1239:G1244)</f>
        <v>0</v>
      </c>
      <c r="H1245" s="107"/>
      <c r="I1245" s="107"/>
    </row>
    <row r="1246" spans="1:7" ht="12">
      <c r="A1246" s="101"/>
      <c r="B1246" s="339" t="s">
        <v>47</v>
      </c>
      <c r="C1246" s="340" t="s">
        <v>1086</v>
      </c>
      <c r="D1246" s="341"/>
      <c r="E1246" s="342"/>
      <c r="F1246" s="342"/>
      <c r="G1246" s="343"/>
    </row>
    <row r="1247" spans="1:9" s="108" customFormat="1" ht="12">
      <c r="A1247" s="101" t="s">
        <v>1087</v>
      </c>
      <c r="B1247" s="109" t="s">
        <v>1088</v>
      </c>
      <c r="C1247" s="148" t="s">
        <v>1032</v>
      </c>
      <c r="D1247" s="148" t="s">
        <v>104</v>
      </c>
      <c r="E1247" s="149">
        <v>49</v>
      </c>
      <c r="F1247" s="149">
        <v>0</v>
      </c>
      <c r="G1247" s="111">
        <f aca="true" t="shared" si="26" ref="G1247:G1253">PRODUCT(F1247*E1247)</f>
        <v>0</v>
      </c>
      <c r="H1247" s="107"/>
      <c r="I1247" s="107"/>
    </row>
    <row r="1248" spans="1:9" s="108" customFormat="1" ht="12">
      <c r="A1248" s="101" t="s">
        <v>1089</v>
      </c>
      <c r="B1248" s="109" t="s">
        <v>1090</v>
      </c>
      <c r="C1248" s="148" t="s">
        <v>1458</v>
      </c>
      <c r="D1248" s="148" t="s">
        <v>104</v>
      </c>
      <c r="E1248" s="149">
        <v>32</v>
      </c>
      <c r="F1248" s="149">
        <v>0</v>
      </c>
      <c r="G1248" s="111">
        <f t="shared" si="26"/>
        <v>0</v>
      </c>
      <c r="H1248" s="107"/>
      <c r="I1248" s="107"/>
    </row>
    <row r="1249" spans="1:9" s="108" customFormat="1" ht="12">
      <c r="A1249" s="101" t="s">
        <v>1092</v>
      </c>
      <c r="B1249" s="109" t="s">
        <v>1093</v>
      </c>
      <c r="C1249" s="148" t="s">
        <v>1094</v>
      </c>
      <c r="D1249" s="148" t="s">
        <v>104</v>
      </c>
      <c r="E1249" s="149">
        <v>213</v>
      </c>
      <c r="F1249" s="149">
        <v>0</v>
      </c>
      <c r="G1249" s="111">
        <f t="shared" si="26"/>
        <v>0</v>
      </c>
      <c r="H1249" s="107"/>
      <c r="I1249" s="107"/>
    </row>
    <row r="1250" spans="1:9" s="108" customFormat="1" ht="12">
      <c r="A1250" s="101" t="s">
        <v>1095</v>
      </c>
      <c r="B1250" s="109" t="s">
        <v>1096</v>
      </c>
      <c r="C1250" s="148" t="s">
        <v>1097</v>
      </c>
      <c r="D1250" s="148" t="s">
        <v>104</v>
      </c>
      <c r="E1250" s="149">
        <v>122</v>
      </c>
      <c r="F1250" s="149">
        <v>0</v>
      </c>
      <c r="G1250" s="111">
        <f t="shared" si="26"/>
        <v>0</v>
      </c>
      <c r="H1250" s="107"/>
      <c r="I1250" s="107"/>
    </row>
    <row r="1251" spans="1:9" s="108" customFormat="1" ht="12">
      <c r="A1251" s="101" t="s">
        <v>1098</v>
      </c>
      <c r="B1251" s="109" t="s">
        <v>1099</v>
      </c>
      <c r="C1251" s="148" t="s">
        <v>1100</v>
      </c>
      <c r="D1251" s="148" t="s">
        <v>104</v>
      </c>
      <c r="E1251" s="149">
        <v>6</v>
      </c>
      <c r="F1251" s="149">
        <v>0</v>
      </c>
      <c r="G1251" s="111">
        <f t="shared" si="26"/>
        <v>0</v>
      </c>
      <c r="H1251" s="107"/>
      <c r="I1251" s="107"/>
    </row>
    <row r="1252" spans="1:9" s="108" customFormat="1" ht="12">
      <c r="A1252" s="101" t="s">
        <v>1101</v>
      </c>
      <c r="B1252" s="109" t="s">
        <v>1102</v>
      </c>
      <c r="C1252" s="148" t="s">
        <v>933</v>
      </c>
      <c r="D1252" s="148" t="s">
        <v>157</v>
      </c>
      <c r="E1252" s="149">
        <v>380</v>
      </c>
      <c r="F1252" s="149">
        <v>0</v>
      </c>
      <c r="G1252" s="111">
        <f t="shared" si="26"/>
        <v>0</v>
      </c>
      <c r="H1252" s="107"/>
      <c r="I1252" s="107"/>
    </row>
    <row r="1253" spans="1:9" s="108" customFormat="1" ht="12">
      <c r="A1253" s="131" t="s">
        <v>1103</v>
      </c>
      <c r="B1253" s="132" t="s">
        <v>1104</v>
      </c>
      <c r="C1253" s="214" t="s">
        <v>1105</v>
      </c>
      <c r="D1253" s="214" t="s">
        <v>104</v>
      </c>
      <c r="E1253" s="215">
        <v>164</v>
      </c>
      <c r="F1253" s="215">
        <v>0</v>
      </c>
      <c r="G1253" s="135">
        <f t="shared" si="26"/>
        <v>0</v>
      </c>
      <c r="H1253" s="107"/>
      <c r="I1253" s="107"/>
    </row>
    <row r="1254" spans="1:9" s="108" customFormat="1" ht="12">
      <c r="A1254" s="124"/>
      <c r="B1254" s="221"/>
      <c r="C1254" s="126" t="s">
        <v>160</v>
      </c>
      <c r="D1254" s="207"/>
      <c r="E1254" s="208"/>
      <c r="F1254" s="222"/>
      <c r="G1254" s="372">
        <f>SUM(G1247:G1253)</f>
        <v>0</v>
      </c>
      <c r="H1254" s="107"/>
      <c r="I1254" s="107"/>
    </row>
    <row r="1255" spans="1:9" s="108" customFormat="1" ht="12">
      <c r="A1255" s="101"/>
      <c r="B1255" s="339" t="s">
        <v>49</v>
      </c>
      <c r="C1255" s="340" t="s">
        <v>1106</v>
      </c>
      <c r="D1255" s="341"/>
      <c r="E1255" s="342"/>
      <c r="F1255" s="342"/>
      <c r="G1255" s="390"/>
      <c r="H1255" s="107"/>
      <c r="I1255" s="107"/>
    </row>
    <row r="1256" spans="1:9" s="108" customFormat="1" ht="12">
      <c r="A1256" s="101" t="s">
        <v>1107</v>
      </c>
      <c r="B1256" s="109" t="s">
        <v>1102</v>
      </c>
      <c r="C1256" s="148" t="s">
        <v>933</v>
      </c>
      <c r="D1256" s="148" t="s">
        <v>157</v>
      </c>
      <c r="E1256" s="149">
        <v>960</v>
      </c>
      <c r="F1256" s="149">
        <v>0</v>
      </c>
      <c r="G1256" s="111">
        <f aca="true" t="shared" si="27" ref="G1256:G1261">PRODUCT(F1256*E1256)</f>
        <v>0</v>
      </c>
      <c r="H1256" s="107"/>
      <c r="I1256" s="107"/>
    </row>
    <row r="1257" spans="1:9" s="108" customFormat="1" ht="12">
      <c r="A1257" s="101" t="s">
        <v>1108</v>
      </c>
      <c r="B1257" s="109" t="s">
        <v>1109</v>
      </c>
      <c r="C1257" s="148" t="s">
        <v>939</v>
      </c>
      <c r="D1257" s="148" t="s">
        <v>157</v>
      </c>
      <c r="E1257" s="149">
        <v>80</v>
      </c>
      <c r="F1257" s="149">
        <v>0</v>
      </c>
      <c r="G1257" s="111">
        <f t="shared" si="27"/>
        <v>0</v>
      </c>
      <c r="H1257" s="107"/>
      <c r="I1257" s="107"/>
    </row>
    <row r="1258" spans="1:9" s="108" customFormat="1" ht="12">
      <c r="A1258" s="101" t="s">
        <v>1110</v>
      </c>
      <c r="B1258" s="109" t="s">
        <v>1111</v>
      </c>
      <c r="C1258" s="148" t="s">
        <v>1112</v>
      </c>
      <c r="D1258" s="148" t="s">
        <v>157</v>
      </c>
      <c r="E1258" s="149">
        <v>55</v>
      </c>
      <c r="F1258" s="149">
        <v>0</v>
      </c>
      <c r="G1258" s="111">
        <f t="shared" si="27"/>
        <v>0</v>
      </c>
      <c r="H1258" s="107"/>
      <c r="I1258" s="107"/>
    </row>
    <row r="1259" spans="1:9" s="108" customFormat="1" ht="12">
      <c r="A1259" s="101" t="s">
        <v>1113</v>
      </c>
      <c r="B1259" s="109" t="s">
        <v>1114</v>
      </c>
      <c r="C1259" s="148" t="s">
        <v>1115</v>
      </c>
      <c r="D1259" s="148" t="s">
        <v>157</v>
      </c>
      <c r="E1259" s="149">
        <v>40</v>
      </c>
      <c r="F1259" s="149">
        <v>0</v>
      </c>
      <c r="G1259" s="111">
        <f t="shared" si="27"/>
        <v>0</v>
      </c>
      <c r="H1259" s="107"/>
      <c r="I1259" s="107"/>
    </row>
    <row r="1260" spans="1:9" s="108" customFormat="1" ht="12">
      <c r="A1260" s="101" t="s">
        <v>1116</v>
      </c>
      <c r="B1260" s="109" t="s">
        <v>1117</v>
      </c>
      <c r="C1260" s="148" t="s">
        <v>1118</v>
      </c>
      <c r="D1260" s="148" t="s">
        <v>157</v>
      </c>
      <c r="E1260" s="149">
        <v>85</v>
      </c>
      <c r="F1260" s="149">
        <v>0</v>
      </c>
      <c r="G1260" s="111">
        <f t="shared" si="27"/>
        <v>0</v>
      </c>
      <c r="H1260" s="107"/>
      <c r="I1260" s="107"/>
    </row>
    <row r="1261" spans="1:9" s="108" customFormat="1" ht="12">
      <c r="A1261" s="101" t="s">
        <v>1119</v>
      </c>
      <c r="B1261" s="132" t="s">
        <v>1117</v>
      </c>
      <c r="C1261" s="214" t="s">
        <v>948</v>
      </c>
      <c r="D1261" s="214" t="s">
        <v>157</v>
      </c>
      <c r="E1261" s="215">
        <v>1980</v>
      </c>
      <c r="F1261" s="215">
        <v>0</v>
      </c>
      <c r="G1261" s="135">
        <f t="shared" si="27"/>
        <v>0</v>
      </c>
      <c r="H1261" s="107"/>
      <c r="I1261" s="107"/>
    </row>
    <row r="1262" spans="1:9" s="108" customFormat="1" ht="12">
      <c r="A1262" s="124"/>
      <c r="B1262" s="221"/>
      <c r="C1262" s="126" t="s">
        <v>160</v>
      </c>
      <c r="D1262" s="207"/>
      <c r="E1262" s="208"/>
      <c r="F1262" s="222"/>
      <c r="G1262" s="372">
        <f>SUM(G1256:G1261)</f>
        <v>0</v>
      </c>
      <c r="H1262" s="107"/>
      <c r="I1262" s="107"/>
    </row>
    <row r="1263" spans="1:9" s="108" customFormat="1" ht="12">
      <c r="A1263" s="101"/>
      <c r="B1263" s="339" t="s">
        <v>51</v>
      </c>
      <c r="C1263" s="340" t="s">
        <v>1120</v>
      </c>
      <c r="D1263" s="341"/>
      <c r="E1263" s="342"/>
      <c r="F1263" s="342"/>
      <c r="G1263" s="343"/>
      <c r="H1263" s="107"/>
      <c r="I1263" s="107"/>
    </row>
    <row r="1264" spans="1:9" s="108" customFormat="1" ht="12">
      <c r="A1264" s="101" t="s">
        <v>1121</v>
      </c>
      <c r="B1264" s="109" t="s">
        <v>1122</v>
      </c>
      <c r="C1264" s="148" t="s">
        <v>952</v>
      </c>
      <c r="D1264" s="148" t="s">
        <v>83</v>
      </c>
      <c r="E1264" s="149">
        <v>1</v>
      </c>
      <c r="F1264" s="149">
        <v>0</v>
      </c>
      <c r="G1264" s="111">
        <f aca="true" t="shared" si="28" ref="G1264:G1275">PRODUCT(F1264*E1264)</f>
        <v>0</v>
      </c>
      <c r="H1264" s="107"/>
      <c r="I1264" s="107"/>
    </row>
    <row r="1265" spans="1:9" s="108" customFormat="1" ht="12">
      <c r="A1265" s="101" t="s">
        <v>1123</v>
      </c>
      <c r="B1265" s="109" t="s">
        <v>1124</v>
      </c>
      <c r="C1265" s="148" t="s">
        <v>955</v>
      </c>
      <c r="D1265" s="148" t="s">
        <v>83</v>
      </c>
      <c r="E1265" s="149">
        <v>1</v>
      </c>
      <c r="F1265" s="149">
        <v>0</v>
      </c>
      <c r="G1265" s="111">
        <f t="shared" si="28"/>
        <v>0</v>
      </c>
      <c r="H1265" s="107"/>
      <c r="I1265" s="107"/>
    </row>
    <row r="1266" spans="1:9" s="108" customFormat="1" ht="12">
      <c r="A1266" s="101" t="s">
        <v>1125</v>
      </c>
      <c r="B1266" s="109" t="s">
        <v>1126</v>
      </c>
      <c r="C1266" s="148" t="s">
        <v>958</v>
      </c>
      <c r="D1266" s="148" t="s">
        <v>83</v>
      </c>
      <c r="E1266" s="149">
        <v>4</v>
      </c>
      <c r="F1266" s="149">
        <v>0</v>
      </c>
      <c r="G1266" s="111">
        <f t="shared" si="28"/>
        <v>0</v>
      </c>
      <c r="H1266" s="107"/>
      <c r="I1266" s="107"/>
    </row>
    <row r="1267" spans="1:9" s="108" customFormat="1" ht="12">
      <c r="A1267" s="101" t="s">
        <v>1127</v>
      </c>
      <c r="B1267" s="109" t="s">
        <v>1128</v>
      </c>
      <c r="C1267" s="148" t="s">
        <v>961</v>
      </c>
      <c r="D1267" s="148" t="s">
        <v>83</v>
      </c>
      <c r="E1267" s="149">
        <v>1</v>
      </c>
      <c r="F1267" s="149">
        <v>0</v>
      </c>
      <c r="G1267" s="111">
        <f t="shared" si="28"/>
        <v>0</v>
      </c>
      <c r="H1267" s="107"/>
      <c r="I1267" s="107"/>
    </row>
    <row r="1268" spans="1:9" s="108" customFormat="1" ht="12">
      <c r="A1268" s="101" t="s">
        <v>1129</v>
      </c>
      <c r="B1268" s="109" t="s">
        <v>1130</v>
      </c>
      <c r="C1268" s="148" t="s">
        <v>964</v>
      </c>
      <c r="D1268" s="148" t="s">
        <v>83</v>
      </c>
      <c r="E1268" s="149">
        <v>2</v>
      </c>
      <c r="F1268" s="149">
        <v>0</v>
      </c>
      <c r="G1268" s="111">
        <f t="shared" si="28"/>
        <v>0</v>
      </c>
      <c r="H1268" s="107"/>
      <c r="I1268" s="107"/>
    </row>
    <row r="1269" spans="1:9" s="108" customFormat="1" ht="12">
      <c r="A1269" s="101" t="s">
        <v>1131</v>
      </c>
      <c r="B1269" s="109" t="s">
        <v>1132</v>
      </c>
      <c r="C1269" s="148" t="s">
        <v>967</v>
      </c>
      <c r="D1269" s="148" t="s">
        <v>83</v>
      </c>
      <c r="E1269" s="149">
        <v>1</v>
      </c>
      <c r="F1269" s="149">
        <v>0</v>
      </c>
      <c r="G1269" s="111">
        <f t="shared" si="28"/>
        <v>0</v>
      </c>
      <c r="H1269" s="107"/>
      <c r="I1269" s="107"/>
    </row>
    <row r="1270" spans="1:9" s="108" customFormat="1" ht="12">
      <c r="A1270" s="101" t="s">
        <v>1133</v>
      </c>
      <c r="B1270" s="109" t="s">
        <v>1134</v>
      </c>
      <c r="C1270" s="148" t="s">
        <v>970</v>
      </c>
      <c r="D1270" s="148" t="s">
        <v>83</v>
      </c>
      <c r="E1270" s="149">
        <v>2</v>
      </c>
      <c r="F1270" s="149">
        <v>0</v>
      </c>
      <c r="G1270" s="111">
        <f t="shared" si="28"/>
        <v>0</v>
      </c>
      <c r="H1270" s="107"/>
      <c r="I1270" s="107"/>
    </row>
    <row r="1271" spans="1:9" s="108" customFormat="1" ht="12">
      <c r="A1271" s="101" t="s">
        <v>1135</v>
      </c>
      <c r="B1271" s="109" t="s">
        <v>1136</v>
      </c>
      <c r="C1271" s="148" t="s">
        <v>973</v>
      </c>
      <c r="D1271" s="148" t="s">
        <v>83</v>
      </c>
      <c r="E1271" s="149">
        <v>2</v>
      </c>
      <c r="F1271" s="149">
        <v>0</v>
      </c>
      <c r="G1271" s="111">
        <f t="shared" si="28"/>
        <v>0</v>
      </c>
      <c r="H1271" s="107"/>
      <c r="I1271" s="107"/>
    </row>
    <row r="1272" spans="1:9" s="108" customFormat="1" ht="12">
      <c r="A1272" s="101" t="s">
        <v>1137</v>
      </c>
      <c r="B1272" s="109" t="s">
        <v>1138</v>
      </c>
      <c r="C1272" s="148" t="s">
        <v>976</v>
      </c>
      <c r="D1272" s="148" t="s">
        <v>83</v>
      </c>
      <c r="E1272" s="149">
        <v>2</v>
      </c>
      <c r="F1272" s="149">
        <v>0</v>
      </c>
      <c r="G1272" s="111">
        <f t="shared" si="28"/>
        <v>0</v>
      </c>
      <c r="H1272" s="107"/>
      <c r="I1272" s="107"/>
    </row>
    <row r="1273" spans="1:9" s="108" customFormat="1" ht="12">
      <c r="A1273" s="101" t="s">
        <v>1139</v>
      </c>
      <c r="B1273" s="109" t="s">
        <v>1140</v>
      </c>
      <c r="C1273" s="148" t="s">
        <v>979</v>
      </c>
      <c r="D1273" s="148" t="s">
        <v>83</v>
      </c>
      <c r="E1273" s="149">
        <v>2</v>
      </c>
      <c r="F1273" s="149">
        <v>0</v>
      </c>
      <c r="G1273" s="111">
        <f t="shared" si="28"/>
        <v>0</v>
      </c>
      <c r="H1273" s="107"/>
      <c r="I1273" s="107"/>
    </row>
    <row r="1274" spans="1:9" s="108" customFormat="1" ht="12">
      <c r="A1274" s="101" t="s">
        <v>1141</v>
      </c>
      <c r="B1274" s="109" t="s">
        <v>1142</v>
      </c>
      <c r="C1274" s="148" t="s">
        <v>982</v>
      </c>
      <c r="D1274" s="148" t="s">
        <v>83</v>
      </c>
      <c r="E1274" s="149">
        <v>2</v>
      </c>
      <c r="F1274" s="149">
        <v>0</v>
      </c>
      <c r="G1274" s="111">
        <f t="shared" si="28"/>
        <v>0</v>
      </c>
      <c r="H1274" s="107"/>
      <c r="I1274" s="107"/>
    </row>
    <row r="1275" spans="1:9" s="108" customFormat="1" ht="12">
      <c r="A1275" s="131" t="s">
        <v>1143</v>
      </c>
      <c r="B1275" s="132" t="s">
        <v>1144</v>
      </c>
      <c r="C1275" s="214" t="s">
        <v>985</v>
      </c>
      <c r="D1275" s="214" t="s">
        <v>83</v>
      </c>
      <c r="E1275" s="215">
        <v>1</v>
      </c>
      <c r="F1275" s="215">
        <v>0</v>
      </c>
      <c r="G1275" s="135">
        <f t="shared" si="28"/>
        <v>0</v>
      </c>
      <c r="H1275" s="107"/>
      <c r="I1275" s="107"/>
    </row>
    <row r="1276" spans="1:9" s="108" customFormat="1" ht="12">
      <c r="A1276" s="124"/>
      <c r="B1276" s="221"/>
      <c r="C1276" s="126" t="s">
        <v>160</v>
      </c>
      <c r="D1276" s="207"/>
      <c r="E1276" s="208"/>
      <c r="F1276" s="222"/>
      <c r="G1276" s="372">
        <f>SUM(G1264:G1275)</f>
        <v>0</v>
      </c>
      <c r="H1276" s="107"/>
      <c r="I1276" s="107"/>
    </row>
    <row r="1277" spans="1:9" s="108" customFormat="1" ht="12">
      <c r="A1277" s="101"/>
      <c r="B1277" s="339" t="s">
        <v>53</v>
      </c>
      <c r="C1277" s="340" t="s">
        <v>1145</v>
      </c>
      <c r="D1277" s="341"/>
      <c r="E1277" s="342"/>
      <c r="F1277" s="342"/>
      <c r="G1277" s="343"/>
      <c r="H1277" s="107"/>
      <c r="I1277" s="107"/>
    </row>
    <row r="1278" spans="1:9" s="108" customFormat="1" ht="12">
      <c r="A1278" s="101" t="s">
        <v>1146</v>
      </c>
      <c r="B1278" s="109" t="s">
        <v>1147</v>
      </c>
      <c r="C1278" s="148" t="s">
        <v>989</v>
      </c>
      <c r="D1278" s="148" t="s">
        <v>83</v>
      </c>
      <c r="E1278" s="149">
        <v>1</v>
      </c>
      <c r="F1278" s="149">
        <v>0</v>
      </c>
      <c r="G1278" s="111">
        <f aca="true" t="shared" si="29" ref="G1278:G1284">PRODUCT(F1278*E1278)</f>
        <v>0</v>
      </c>
      <c r="H1278" s="107"/>
      <c r="I1278" s="107"/>
    </row>
    <row r="1279" spans="1:9" s="108" customFormat="1" ht="12">
      <c r="A1279" s="101" t="s">
        <v>1148</v>
      </c>
      <c r="B1279" s="109" t="s">
        <v>1149</v>
      </c>
      <c r="C1279" s="148" t="s">
        <v>992</v>
      </c>
      <c r="D1279" s="148" t="s">
        <v>83</v>
      </c>
      <c r="E1279" s="149">
        <v>1</v>
      </c>
      <c r="F1279" s="149">
        <v>0</v>
      </c>
      <c r="G1279" s="111">
        <f t="shared" si="29"/>
        <v>0</v>
      </c>
      <c r="H1279" s="107"/>
      <c r="I1279" s="107"/>
    </row>
    <row r="1280" spans="1:9" s="108" customFormat="1" ht="12">
      <c r="A1280" s="101" t="s">
        <v>1150</v>
      </c>
      <c r="B1280" s="109" t="s">
        <v>1151</v>
      </c>
      <c r="C1280" s="148" t="s">
        <v>995</v>
      </c>
      <c r="D1280" s="148" t="s">
        <v>83</v>
      </c>
      <c r="E1280" s="149">
        <v>1</v>
      </c>
      <c r="F1280" s="149">
        <v>0</v>
      </c>
      <c r="G1280" s="111">
        <f t="shared" si="29"/>
        <v>0</v>
      </c>
      <c r="H1280" s="107"/>
      <c r="I1280" s="107"/>
    </row>
    <row r="1281" spans="1:9" s="108" customFormat="1" ht="12">
      <c r="A1281" s="101" t="s">
        <v>1152</v>
      </c>
      <c r="B1281" s="109" t="s">
        <v>1153</v>
      </c>
      <c r="C1281" s="148" t="s">
        <v>998</v>
      </c>
      <c r="D1281" s="148" t="s">
        <v>83</v>
      </c>
      <c r="E1281" s="149">
        <v>25</v>
      </c>
      <c r="F1281" s="149">
        <v>0</v>
      </c>
      <c r="G1281" s="111">
        <f t="shared" si="29"/>
        <v>0</v>
      </c>
      <c r="H1281" s="107"/>
      <c r="I1281" s="107"/>
    </row>
    <row r="1282" spans="1:9" s="108" customFormat="1" ht="12">
      <c r="A1282" s="101" t="s">
        <v>1154</v>
      </c>
      <c r="B1282" s="109" t="s">
        <v>1155</v>
      </c>
      <c r="C1282" s="148" t="s">
        <v>1001</v>
      </c>
      <c r="D1282" s="148" t="s">
        <v>83</v>
      </c>
      <c r="E1282" s="149">
        <v>1</v>
      </c>
      <c r="F1282" s="149">
        <v>0</v>
      </c>
      <c r="G1282" s="111">
        <f t="shared" si="29"/>
        <v>0</v>
      </c>
      <c r="H1282" s="107"/>
      <c r="I1282" s="107"/>
    </row>
    <row r="1283" spans="1:9" s="108" customFormat="1" ht="12">
      <c r="A1283" s="101" t="s">
        <v>1156</v>
      </c>
      <c r="B1283" s="109" t="s">
        <v>1157</v>
      </c>
      <c r="C1283" s="148" t="s">
        <v>1004</v>
      </c>
      <c r="D1283" s="148" t="s">
        <v>83</v>
      </c>
      <c r="E1283" s="149">
        <v>3</v>
      </c>
      <c r="F1283" s="149">
        <v>0</v>
      </c>
      <c r="G1283" s="111">
        <f t="shared" si="29"/>
        <v>0</v>
      </c>
      <c r="H1283" s="107"/>
      <c r="I1283" s="107"/>
    </row>
    <row r="1284" spans="1:9" s="108" customFormat="1" ht="12">
      <c r="A1284" s="131" t="s">
        <v>1158</v>
      </c>
      <c r="B1284" s="132" t="s">
        <v>1159</v>
      </c>
      <c r="C1284" s="214" t="s">
        <v>1007</v>
      </c>
      <c r="D1284" s="214" t="s">
        <v>83</v>
      </c>
      <c r="E1284" s="215">
        <v>1</v>
      </c>
      <c r="F1284" s="215">
        <v>0</v>
      </c>
      <c r="G1284" s="135">
        <f t="shared" si="29"/>
        <v>0</v>
      </c>
      <c r="H1284" s="107"/>
      <c r="I1284" s="107"/>
    </row>
    <row r="1285" spans="1:9" s="108" customFormat="1" ht="12">
      <c r="A1285" s="124"/>
      <c r="B1285" s="221"/>
      <c r="C1285" s="126" t="s">
        <v>160</v>
      </c>
      <c r="D1285" s="207"/>
      <c r="E1285" s="208"/>
      <c r="F1285" s="222"/>
      <c r="G1285" s="372">
        <f>SUM(G1278:G1284)</f>
        <v>0</v>
      </c>
      <c r="H1285" s="107"/>
      <c r="I1285" s="107"/>
    </row>
    <row r="1286" spans="1:9" s="108" customFormat="1" ht="12">
      <c r="A1286" s="101"/>
      <c r="B1286" s="339" t="s">
        <v>55</v>
      </c>
      <c r="C1286" s="340" t="s">
        <v>1160</v>
      </c>
      <c r="D1286" s="341"/>
      <c r="E1286" s="342"/>
      <c r="F1286" s="342"/>
      <c r="G1286" s="343"/>
      <c r="H1286" s="107"/>
      <c r="I1286" s="107"/>
    </row>
    <row r="1287" spans="1:9" s="108" customFormat="1" ht="12">
      <c r="A1287" s="101" t="s">
        <v>1161</v>
      </c>
      <c r="B1287" s="109" t="s">
        <v>1162</v>
      </c>
      <c r="C1287" s="148" t="s">
        <v>1011</v>
      </c>
      <c r="D1287" s="148" t="s">
        <v>83</v>
      </c>
      <c r="E1287" s="149">
        <v>22</v>
      </c>
      <c r="F1287" s="149">
        <v>0</v>
      </c>
      <c r="G1287" s="111">
        <f aca="true" t="shared" si="30" ref="G1287:G1294">PRODUCT(F1287*E1287)</f>
        <v>0</v>
      </c>
      <c r="H1287" s="107"/>
      <c r="I1287" s="107"/>
    </row>
    <row r="1288" spans="1:9" s="108" customFormat="1" ht="12">
      <c r="A1288" s="101" t="s">
        <v>1163</v>
      </c>
      <c r="B1288" s="109" t="s">
        <v>1164</v>
      </c>
      <c r="C1288" s="148" t="s">
        <v>1017</v>
      </c>
      <c r="D1288" s="148" t="s">
        <v>83</v>
      </c>
      <c r="E1288" s="149">
        <v>78</v>
      </c>
      <c r="F1288" s="149">
        <v>0</v>
      </c>
      <c r="G1288" s="111">
        <f t="shared" si="30"/>
        <v>0</v>
      </c>
      <c r="H1288" s="107"/>
      <c r="I1288" s="107"/>
    </row>
    <row r="1289" spans="1:9" s="108" customFormat="1" ht="12">
      <c r="A1289" s="101" t="s">
        <v>1165</v>
      </c>
      <c r="B1289" s="109" t="s">
        <v>1166</v>
      </c>
      <c r="C1289" s="148" t="s">
        <v>1020</v>
      </c>
      <c r="D1289" s="148" t="s">
        <v>83</v>
      </c>
      <c r="E1289" s="149">
        <v>18</v>
      </c>
      <c r="F1289" s="149">
        <v>0</v>
      </c>
      <c r="G1289" s="111">
        <f t="shared" si="30"/>
        <v>0</v>
      </c>
      <c r="H1289" s="107"/>
      <c r="I1289" s="107"/>
    </row>
    <row r="1290" spans="1:9" s="108" customFormat="1" ht="12">
      <c r="A1290" s="101" t="s">
        <v>1167</v>
      </c>
      <c r="B1290" s="109" t="s">
        <v>1168</v>
      </c>
      <c r="C1290" s="148" t="s">
        <v>1023</v>
      </c>
      <c r="D1290" s="148" t="s">
        <v>83</v>
      </c>
      <c r="E1290" s="149">
        <v>1</v>
      </c>
      <c r="F1290" s="149">
        <v>0</v>
      </c>
      <c r="G1290" s="111">
        <f t="shared" si="30"/>
        <v>0</v>
      </c>
      <c r="H1290" s="107"/>
      <c r="I1290" s="107"/>
    </row>
    <row r="1291" spans="1:9" s="108" customFormat="1" ht="12">
      <c r="A1291" s="101" t="s">
        <v>1169</v>
      </c>
      <c r="B1291" s="109" t="s">
        <v>1170</v>
      </c>
      <c r="C1291" s="148" t="s">
        <v>1026</v>
      </c>
      <c r="D1291" s="148" t="s">
        <v>83</v>
      </c>
      <c r="E1291" s="149">
        <v>3</v>
      </c>
      <c r="F1291" s="149">
        <v>0</v>
      </c>
      <c r="G1291" s="111">
        <f t="shared" si="30"/>
        <v>0</v>
      </c>
      <c r="H1291" s="107"/>
      <c r="I1291" s="107"/>
    </row>
    <row r="1292" spans="1:9" s="108" customFormat="1" ht="12">
      <c r="A1292" s="101" t="s">
        <v>1171</v>
      </c>
      <c r="B1292" s="109" t="s">
        <v>1172</v>
      </c>
      <c r="C1292" s="148" t="s">
        <v>1029</v>
      </c>
      <c r="D1292" s="148" t="s">
        <v>83</v>
      </c>
      <c r="E1292" s="149">
        <v>204</v>
      </c>
      <c r="F1292" s="149">
        <v>0</v>
      </c>
      <c r="G1292" s="111">
        <f t="shared" si="30"/>
        <v>0</v>
      </c>
      <c r="H1292" s="107"/>
      <c r="I1292" s="107"/>
    </row>
    <row r="1293" spans="1:9" s="108" customFormat="1" ht="12">
      <c r="A1293" s="101" t="s">
        <v>1173</v>
      </c>
      <c r="B1293" s="109" t="s">
        <v>1174</v>
      </c>
      <c r="C1293" s="148" t="s">
        <v>1032</v>
      </c>
      <c r="D1293" s="148" t="s">
        <v>83</v>
      </c>
      <c r="E1293" s="149">
        <v>102</v>
      </c>
      <c r="F1293" s="149">
        <v>0</v>
      </c>
      <c r="G1293" s="111">
        <f t="shared" si="30"/>
        <v>0</v>
      </c>
      <c r="H1293" s="107"/>
      <c r="I1293" s="107"/>
    </row>
    <row r="1294" spans="1:9" s="108" customFormat="1" ht="12">
      <c r="A1294" s="131" t="s">
        <v>1175</v>
      </c>
      <c r="B1294" s="132" t="s">
        <v>1176</v>
      </c>
      <c r="C1294" s="214" t="s">
        <v>1035</v>
      </c>
      <c r="D1294" s="214" t="s">
        <v>83</v>
      </c>
      <c r="E1294" s="215">
        <v>1</v>
      </c>
      <c r="F1294" s="215">
        <v>0</v>
      </c>
      <c r="G1294" s="135">
        <f t="shared" si="30"/>
        <v>0</v>
      </c>
      <c r="H1294" s="107"/>
      <c r="I1294" s="107"/>
    </row>
    <row r="1295" spans="1:9" s="108" customFormat="1" ht="12">
      <c r="A1295" s="124"/>
      <c r="B1295" s="221"/>
      <c r="C1295" s="126" t="s">
        <v>160</v>
      </c>
      <c r="D1295" s="207"/>
      <c r="E1295" s="208"/>
      <c r="F1295" s="222"/>
      <c r="G1295" s="372">
        <f>SUM(G1287:G1294)</f>
        <v>0</v>
      </c>
      <c r="H1295" s="107"/>
      <c r="I1295" s="107"/>
    </row>
    <row r="1296" spans="1:9" s="108" customFormat="1" ht="12">
      <c r="A1296" s="101"/>
      <c r="B1296" s="339" t="s">
        <v>57</v>
      </c>
      <c r="C1296" s="340" t="s">
        <v>1177</v>
      </c>
      <c r="D1296" s="341"/>
      <c r="E1296" s="342"/>
      <c r="F1296" s="342"/>
      <c r="G1296" s="343"/>
      <c r="H1296" s="107"/>
      <c r="I1296" s="107"/>
    </row>
    <row r="1297" spans="1:9" s="108" customFormat="1" ht="12">
      <c r="A1297" s="101" t="s">
        <v>1178</v>
      </c>
      <c r="B1297" s="109" t="s">
        <v>1179</v>
      </c>
      <c r="C1297" s="148" t="s">
        <v>1039</v>
      </c>
      <c r="D1297" s="148" t="s">
        <v>157</v>
      </c>
      <c r="E1297" s="149">
        <v>40</v>
      </c>
      <c r="F1297" s="149">
        <v>0</v>
      </c>
      <c r="G1297" s="111">
        <f aca="true" t="shared" si="31" ref="G1297:G1306">PRODUCT(F1297*E1297)</f>
        <v>0</v>
      </c>
      <c r="H1297" s="107"/>
      <c r="I1297" s="107"/>
    </row>
    <row r="1298" spans="1:9" s="108" customFormat="1" ht="12">
      <c r="A1298" s="101" t="s">
        <v>1180</v>
      </c>
      <c r="B1298" s="109" t="s">
        <v>1181</v>
      </c>
      <c r="C1298" s="148" t="s">
        <v>1042</v>
      </c>
      <c r="D1298" s="148" t="s">
        <v>157</v>
      </c>
      <c r="E1298" s="149">
        <v>40</v>
      </c>
      <c r="F1298" s="149">
        <v>0</v>
      </c>
      <c r="G1298" s="111">
        <f t="shared" si="31"/>
        <v>0</v>
      </c>
      <c r="H1298" s="107"/>
      <c r="I1298" s="107"/>
    </row>
    <row r="1299" spans="1:9" s="108" customFormat="1" ht="12">
      <c r="A1299" s="101" t="s">
        <v>1182</v>
      </c>
      <c r="B1299" s="109" t="s">
        <v>1183</v>
      </c>
      <c r="C1299" s="148" t="s">
        <v>1045</v>
      </c>
      <c r="D1299" s="148" t="s">
        <v>83</v>
      </c>
      <c r="E1299" s="149">
        <v>90</v>
      </c>
      <c r="F1299" s="149">
        <v>0</v>
      </c>
      <c r="G1299" s="111">
        <f t="shared" si="31"/>
        <v>0</v>
      </c>
      <c r="H1299" s="107"/>
      <c r="I1299" s="107"/>
    </row>
    <row r="1300" spans="1:9" s="108" customFormat="1" ht="12">
      <c r="A1300" s="101" t="s">
        <v>1184</v>
      </c>
      <c r="B1300" s="109" t="s">
        <v>1185</v>
      </c>
      <c r="C1300" s="148" t="s">
        <v>1048</v>
      </c>
      <c r="D1300" s="148" t="s">
        <v>157</v>
      </c>
      <c r="E1300" s="149">
        <v>160</v>
      </c>
      <c r="F1300" s="149">
        <v>0</v>
      </c>
      <c r="G1300" s="111">
        <f t="shared" si="31"/>
        <v>0</v>
      </c>
      <c r="H1300" s="107"/>
      <c r="I1300" s="107"/>
    </row>
    <row r="1301" spans="1:9" s="108" customFormat="1" ht="12">
      <c r="A1301" s="101" t="s">
        <v>1186</v>
      </c>
      <c r="B1301" s="109" t="s">
        <v>1187</v>
      </c>
      <c r="C1301" s="148" t="s">
        <v>1051</v>
      </c>
      <c r="D1301" s="148" t="s">
        <v>157</v>
      </c>
      <c r="E1301" s="149">
        <v>14</v>
      </c>
      <c r="F1301" s="149">
        <v>0</v>
      </c>
      <c r="G1301" s="111">
        <f t="shared" si="31"/>
        <v>0</v>
      </c>
      <c r="H1301" s="107"/>
      <c r="I1301" s="107"/>
    </row>
    <row r="1302" spans="1:9" s="108" customFormat="1" ht="12">
      <c r="A1302" s="101" t="s">
        <v>1188</v>
      </c>
      <c r="B1302" s="109" t="s">
        <v>1189</v>
      </c>
      <c r="C1302" s="148" t="s">
        <v>1054</v>
      </c>
      <c r="D1302" s="148" t="s">
        <v>157</v>
      </c>
      <c r="E1302" s="149">
        <v>75</v>
      </c>
      <c r="F1302" s="149">
        <v>0</v>
      </c>
      <c r="G1302" s="111">
        <f t="shared" si="31"/>
        <v>0</v>
      </c>
      <c r="H1302" s="107"/>
      <c r="I1302" s="107"/>
    </row>
    <row r="1303" spans="1:9" s="108" customFormat="1" ht="12">
      <c r="A1303" s="101" t="s">
        <v>1190</v>
      </c>
      <c r="B1303" s="109" t="s">
        <v>1191</v>
      </c>
      <c r="C1303" s="148" t="s">
        <v>1057</v>
      </c>
      <c r="D1303" s="148" t="s">
        <v>157</v>
      </c>
      <c r="E1303" s="149">
        <v>75</v>
      </c>
      <c r="F1303" s="149">
        <v>0</v>
      </c>
      <c r="G1303" s="111">
        <f t="shared" si="31"/>
        <v>0</v>
      </c>
      <c r="H1303" s="107"/>
      <c r="I1303" s="107"/>
    </row>
    <row r="1304" spans="1:9" s="108" customFormat="1" ht="12">
      <c r="A1304" s="101" t="s">
        <v>1192</v>
      </c>
      <c r="B1304" s="109" t="s">
        <v>1193</v>
      </c>
      <c r="C1304" s="148" t="s">
        <v>1060</v>
      </c>
      <c r="D1304" s="148" t="s">
        <v>83</v>
      </c>
      <c r="E1304" s="149">
        <v>60</v>
      </c>
      <c r="F1304" s="149">
        <v>0</v>
      </c>
      <c r="G1304" s="111">
        <f t="shared" si="31"/>
        <v>0</v>
      </c>
      <c r="H1304" s="107"/>
      <c r="I1304" s="107"/>
    </row>
    <row r="1305" spans="1:9" s="108" customFormat="1" ht="12">
      <c r="A1305" s="101" t="s">
        <v>1194</v>
      </c>
      <c r="B1305" s="109" t="s">
        <v>1195</v>
      </c>
      <c r="C1305" s="148" t="s">
        <v>1063</v>
      </c>
      <c r="D1305" s="148" t="s">
        <v>83</v>
      </c>
      <c r="E1305" s="149">
        <v>40</v>
      </c>
      <c r="F1305" s="149">
        <v>0</v>
      </c>
      <c r="G1305" s="111">
        <f t="shared" si="31"/>
        <v>0</v>
      </c>
      <c r="H1305" s="107"/>
      <c r="I1305" s="107"/>
    </row>
    <row r="1306" spans="1:9" s="108" customFormat="1" ht="12">
      <c r="A1306" s="131" t="s">
        <v>1196</v>
      </c>
      <c r="B1306" s="132" t="s">
        <v>1197</v>
      </c>
      <c r="C1306" s="214" t="s">
        <v>1066</v>
      </c>
      <c r="D1306" s="214" t="s">
        <v>83</v>
      </c>
      <c r="E1306" s="215">
        <v>1530</v>
      </c>
      <c r="F1306" s="215">
        <v>0</v>
      </c>
      <c r="G1306" s="135">
        <f t="shared" si="31"/>
        <v>0</v>
      </c>
      <c r="H1306" s="107"/>
      <c r="I1306" s="107"/>
    </row>
    <row r="1307" spans="1:9" s="108" customFormat="1" ht="12">
      <c r="A1307" s="124"/>
      <c r="B1307" s="221"/>
      <c r="C1307" s="126" t="s">
        <v>160</v>
      </c>
      <c r="D1307" s="207"/>
      <c r="E1307" s="208"/>
      <c r="F1307" s="222"/>
      <c r="G1307" s="372">
        <f>SUM(G1297:G1306)</f>
        <v>0</v>
      </c>
      <c r="H1307" s="107"/>
      <c r="I1307" s="107"/>
    </row>
    <row r="1308" spans="1:9" s="108" customFormat="1" ht="12">
      <c r="A1308" s="101"/>
      <c r="B1308" s="339" t="s">
        <v>59</v>
      </c>
      <c r="C1308" s="340" t="s">
        <v>1198</v>
      </c>
      <c r="D1308" s="341"/>
      <c r="E1308" s="342"/>
      <c r="F1308" s="342"/>
      <c r="G1308" s="343"/>
      <c r="H1308" s="107"/>
      <c r="I1308" s="107"/>
    </row>
    <row r="1309" spans="1:9" s="108" customFormat="1" ht="12">
      <c r="A1309" s="101" t="s">
        <v>1199</v>
      </c>
      <c r="B1309" s="109" t="s">
        <v>1200</v>
      </c>
      <c r="C1309" s="148" t="s">
        <v>1070</v>
      </c>
      <c r="D1309" s="148" t="s">
        <v>83</v>
      </c>
      <c r="E1309" s="149">
        <v>5</v>
      </c>
      <c r="F1309" s="149">
        <v>0</v>
      </c>
      <c r="G1309" s="111">
        <f aca="true" t="shared" si="32" ref="G1309:G1314">PRODUCT(F1309*E1309)</f>
        <v>0</v>
      </c>
      <c r="H1309" s="107"/>
      <c r="I1309" s="107"/>
    </row>
    <row r="1310" spans="1:9" s="108" customFormat="1" ht="12">
      <c r="A1310" s="101" t="s">
        <v>1201</v>
      </c>
      <c r="B1310" s="109" t="s">
        <v>1202</v>
      </c>
      <c r="C1310" s="148" t="s">
        <v>1073</v>
      </c>
      <c r="D1310" s="148" t="s">
        <v>83</v>
      </c>
      <c r="E1310" s="149">
        <v>1</v>
      </c>
      <c r="F1310" s="149">
        <v>0</v>
      </c>
      <c r="G1310" s="111">
        <f t="shared" si="32"/>
        <v>0</v>
      </c>
      <c r="H1310" s="107"/>
      <c r="I1310" s="107"/>
    </row>
    <row r="1311" spans="1:9" s="108" customFormat="1" ht="12">
      <c r="A1311" s="101" t="s">
        <v>1203</v>
      </c>
      <c r="B1311" s="109" t="s">
        <v>1204</v>
      </c>
      <c r="C1311" s="148" t="s">
        <v>1076</v>
      </c>
      <c r="D1311" s="148" t="s">
        <v>83</v>
      </c>
      <c r="E1311" s="149">
        <v>1</v>
      </c>
      <c r="F1311" s="149">
        <v>0</v>
      </c>
      <c r="G1311" s="111">
        <f t="shared" si="32"/>
        <v>0</v>
      </c>
      <c r="H1311" s="107"/>
      <c r="I1311" s="107"/>
    </row>
    <row r="1312" spans="1:9" s="108" customFormat="1" ht="12">
      <c r="A1312" s="101" t="s">
        <v>1205</v>
      </c>
      <c r="B1312" s="109" t="s">
        <v>1206</v>
      </c>
      <c r="C1312" s="148" t="s">
        <v>1079</v>
      </c>
      <c r="D1312" s="148" t="s">
        <v>83</v>
      </c>
      <c r="E1312" s="149">
        <v>1</v>
      </c>
      <c r="F1312" s="149">
        <v>0</v>
      </c>
      <c r="G1312" s="111">
        <f t="shared" si="32"/>
        <v>0</v>
      </c>
      <c r="H1312" s="107"/>
      <c r="I1312" s="107"/>
    </row>
    <row r="1313" spans="1:9" s="108" customFormat="1" ht="12">
      <c r="A1313" s="101" t="s">
        <v>1207</v>
      </c>
      <c r="B1313" s="109" t="s">
        <v>1208</v>
      </c>
      <c r="C1313" s="148" t="s">
        <v>1209</v>
      </c>
      <c r="D1313" s="148" t="s">
        <v>83</v>
      </c>
      <c r="E1313" s="149">
        <v>1</v>
      </c>
      <c r="F1313" s="149">
        <v>0</v>
      </c>
      <c r="G1313" s="111">
        <f t="shared" si="32"/>
        <v>0</v>
      </c>
      <c r="H1313" s="107"/>
      <c r="I1313" s="107"/>
    </row>
    <row r="1314" spans="1:9" s="108" customFormat="1" ht="12">
      <c r="A1314" s="131" t="s">
        <v>1210</v>
      </c>
      <c r="B1314" s="132" t="s">
        <v>1211</v>
      </c>
      <c r="C1314" s="214" t="s">
        <v>1085</v>
      </c>
      <c r="D1314" s="214" t="s">
        <v>83</v>
      </c>
      <c r="E1314" s="215">
        <v>14</v>
      </c>
      <c r="F1314" s="215">
        <v>0</v>
      </c>
      <c r="G1314" s="135">
        <f t="shared" si="32"/>
        <v>0</v>
      </c>
      <c r="H1314" s="107"/>
      <c r="I1314" s="107"/>
    </row>
    <row r="1315" spans="1:9" s="108" customFormat="1" ht="12">
      <c r="A1315" s="124"/>
      <c r="B1315" s="221"/>
      <c r="C1315" s="126" t="s">
        <v>160</v>
      </c>
      <c r="D1315" s="207"/>
      <c r="E1315" s="208"/>
      <c r="F1315" s="222"/>
      <c r="G1315" s="372">
        <f>SUM(G1309:G1314)</f>
        <v>0</v>
      </c>
      <c r="H1315" s="107"/>
      <c r="I1315" s="107"/>
    </row>
    <row r="1316" spans="1:7" ht="12">
      <c r="A1316" s="101"/>
      <c r="B1316" s="339" t="s">
        <v>61</v>
      </c>
      <c r="C1316" s="340" t="s">
        <v>1212</v>
      </c>
      <c r="D1316" s="341"/>
      <c r="E1316" s="342"/>
      <c r="F1316" s="342"/>
      <c r="G1316" s="343"/>
    </row>
    <row r="1317" spans="1:9" s="108" customFormat="1" ht="12">
      <c r="A1317" s="101" t="s">
        <v>1213</v>
      </c>
      <c r="B1317" s="109" t="s">
        <v>1088</v>
      </c>
      <c r="C1317" s="148" t="s">
        <v>1032</v>
      </c>
      <c r="D1317" s="148" t="s">
        <v>104</v>
      </c>
      <c r="E1317" s="149">
        <v>49</v>
      </c>
      <c r="F1317" s="149">
        <v>0</v>
      </c>
      <c r="G1317" s="111">
        <f aca="true" t="shared" si="33" ref="G1317:G1325">PRODUCT(F1317*E1317)</f>
        <v>0</v>
      </c>
      <c r="H1317" s="107"/>
      <c r="I1317" s="107"/>
    </row>
    <row r="1318" spans="1:9" s="108" customFormat="1" ht="12">
      <c r="A1318" s="101" t="s">
        <v>1214</v>
      </c>
      <c r="B1318" s="109" t="s">
        <v>1090</v>
      </c>
      <c r="C1318" s="148" t="s">
        <v>1465</v>
      </c>
      <c r="D1318" s="148" t="s">
        <v>104</v>
      </c>
      <c r="E1318" s="149">
        <v>32</v>
      </c>
      <c r="F1318" s="149">
        <v>0</v>
      </c>
      <c r="G1318" s="111">
        <f t="shared" si="33"/>
        <v>0</v>
      </c>
      <c r="H1318" s="107"/>
      <c r="I1318" s="107"/>
    </row>
    <row r="1319" spans="1:9" s="108" customFormat="1" ht="12">
      <c r="A1319" s="101" t="s">
        <v>1215</v>
      </c>
      <c r="B1319" s="109" t="s">
        <v>1093</v>
      </c>
      <c r="C1319" s="148" t="s">
        <v>1216</v>
      </c>
      <c r="D1319" s="148" t="s">
        <v>104</v>
      </c>
      <c r="E1319" s="149">
        <v>153</v>
      </c>
      <c r="F1319" s="149">
        <v>0</v>
      </c>
      <c r="G1319" s="111">
        <f t="shared" si="33"/>
        <v>0</v>
      </c>
      <c r="H1319" s="107"/>
      <c r="I1319" s="107"/>
    </row>
    <row r="1320" spans="1:9" s="108" customFormat="1" ht="12">
      <c r="A1320" s="101" t="s">
        <v>1217</v>
      </c>
      <c r="B1320" s="109" t="s">
        <v>1096</v>
      </c>
      <c r="C1320" s="148" t="s">
        <v>1218</v>
      </c>
      <c r="D1320" s="148" t="s">
        <v>104</v>
      </c>
      <c r="E1320" s="149">
        <v>60</v>
      </c>
      <c r="F1320" s="149">
        <v>0</v>
      </c>
      <c r="G1320" s="111">
        <f t="shared" si="33"/>
        <v>0</v>
      </c>
      <c r="H1320" s="107"/>
      <c r="I1320" s="107"/>
    </row>
    <row r="1321" spans="1:9" s="108" customFormat="1" ht="12">
      <c r="A1321" s="101" t="s">
        <v>1219</v>
      </c>
      <c r="B1321" s="109" t="s">
        <v>1099</v>
      </c>
      <c r="C1321" s="148" t="s">
        <v>1220</v>
      </c>
      <c r="D1321" s="148" t="s">
        <v>104</v>
      </c>
      <c r="E1321" s="149">
        <v>213</v>
      </c>
      <c r="F1321" s="149">
        <v>0</v>
      </c>
      <c r="G1321" s="111">
        <f t="shared" si="33"/>
        <v>0</v>
      </c>
      <c r="H1321" s="107"/>
      <c r="I1321" s="107"/>
    </row>
    <row r="1322" spans="1:9" s="108" customFormat="1" ht="12">
      <c r="A1322" s="101" t="s">
        <v>1221</v>
      </c>
      <c r="B1322" s="109" t="s">
        <v>1104</v>
      </c>
      <c r="C1322" s="148" t="s">
        <v>1222</v>
      </c>
      <c r="D1322" s="148" t="s">
        <v>104</v>
      </c>
      <c r="E1322" s="149">
        <v>122</v>
      </c>
      <c r="F1322" s="149">
        <v>0</v>
      </c>
      <c r="G1322" s="111">
        <f t="shared" si="33"/>
        <v>0</v>
      </c>
      <c r="H1322" s="107"/>
      <c r="I1322" s="107"/>
    </row>
    <row r="1323" spans="1:9" s="108" customFormat="1" ht="12">
      <c r="A1323" s="101" t="s">
        <v>1223</v>
      </c>
      <c r="B1323" s="109" t="s">
        <v>1224</v>
      </c>
      <c r="C1323" s="148" t="s">
        <v>1225</v>
      </c>
      <c r="D1323" s="148" t="s">
        <v>104</v>
      </c>
      <c r="E1323" s="149">
        <v>6</v>
      </c>
      <c r="F1323" s="149">
        <v>0</v>
      </c>
      <c r="G1323" s="111">
        <f t="shared" si="33"/>
        <v>0</v>
      </c>
      <c r="H1323" s="107"/>
      <c r="I1323" s="107"/>
    </row>
    <row r="1324" spans="1:9" s="108" customFormat="1" ht="12">
      <c r="A1324" s="101" t="s">
        <v>1226</v>
      </c>
      <c r="B1324" s="109" t="s">
        <v>1102</v>
      </c>
      <c r="C1324" s="148" t="s">
        <v>933</v>
      </c>
      <c r="D1324" s="148" t="s">
        <v>157</v>
      </c>
      <c r="E1324" s="149">
        <v>400</v>
      </c>
      <c r="F1324" s="149">
        <v>0</v>
      </c>
      <c r="G1324" s="111">
        <f t="shared" si="33"/>
        <v>0</v>
      </c>
      <c r="H1324" s="107"/>
      <c r="I1324" s="107"/>
    </row>
    <row r="1325" spans="1:9" s="108" customFormat="1" ht="12.75" thickBot="1">
      <c r="A1325" s="131" t="s">
        <v>1227</v>
      </c>
      <c r="B1325" s="132" t="s">
        <v>1228</v>
      </c>
      <c r="C1325" s="214" t="s">
        <v>1229</v>
      </c>
      <c r="D1325" s="214" t="s">
        <v>104</v>
      </c>
      <c r="E1325" s="215">
        <v>194</v>
      </c>
      <c r="F1325" s="215">
        <v>0</v>
      </c>
      <c r="G1325" s="135">
        <f t="shared" si="33"/>
        <v>0</v>
      </c>
      <c r="H1325" s="107"/>
      <c r="I1325" s="107"/>
    </row>
    <row r="1326" spans="1:9" s="100" customFormat="1" ht="12.75" thickTop="1">
      <c r="A1326" s="391"/>
      <c r="B1326" s="352"/>
      <c r="C1326" s="353" t="s">
        <v>160</v>
      </c>
      <c r="D1326" s="354"/>
      <c r="E1326" s="355"/>
      <c r="F1326" s="356"/>
      <c r="G1326" s="357">
        <f>SUM(G1317:G1325)</f>
        <v>0</v>
      </c>
      <c r="H1326" s="99"/>
      <c r="I1326" s="99"/>
    </row>
    <row r="1327" spans="1:9" s="108" customFormat="1" ht="12">
      <c r="A1327" s="678"/>
      <c r="B1327" s="679" t="s">
        <v>63</v>
      </c>
      <c r="C1327" s="680" t="s">
        <v>64</v>
      </c>
      <c r="D1327" s="681"/>
      <c r="E1327" s="682"/>
      <c r="F1327" s="682"/>
      <c r="G1327" s="683"/>
      <c r="H1327" s="107"/>
      <c r="I1327" s="107"/>
    </row>
    <row r="1328" spans="1:9" s="108" customFormat="1" ht="12">
      <c r="A1328" s="402" t="s">
        <v>1230</v>
      </c>
      <c r="B1328" s="403" t="s">
        <v>1231</v>
      </c>
      <c r="C1328" s="404" t="s">
        <v>1232</v>
      </c>
      <c r="D1328" s="404" t="s">
        <v>157</v>
      </c>
      <c r="E1328" s="405">
        <v>10.3</v>
      </c>
      <c r="F1328" s="405">
        <v>0</v>
      </c>
      <c r="G1328" s="406">
        <f>PRODUCT(F1328*E1328)</f>
        <v>0</v>
      </c>
      <c r="H1328" s="107"/>
      <c r="I1328" s="107"/>
    </row>
    <row r="1329" spans="1:9" s="108" customFormat="1" ht="12">
      <c r="A1329" s="402"/>
      <c r="B1329" s="425" t="s">
        <v>1233</v>
      </c>
      <c r="C1329" s="404">
        <f>3+3</f>
        <v>6</v>
      </c>
      <c r="D1329" s="404"/>
      <c r="E1329" s="405"/>
      <c r="F1329" s="405"/>
      <c r="G1329" s="405"/>
      <c r="H1329" s="107"/>
      <c r="I1329" s="107"/>
    </row>
    <row r="1330" spans="1:9" s="108" customFormat="1" ht="12">
      <c r="A1330" s="402"/>
      <c r="B1330" s="425" t="s">
        <v>1234</v>
      </c>
      <c r="C1330" s="404">
        <f>(0.8+1.5+2)</f>
        <v>4.3</v>
      </c>
      <c r="D1330" s="404"/>
      <c r="E1330" s="405"/>
      <c r="F1330" s="405"/>
      <c r="G1330" s="405"/>
      <c r="H1330" s="107"/>
      <c r="I1330" s="107"/>
    </row>
    <row r="1331" spans="1:9" s="108" customFormat="1" ht="12">
      <c r="A1331" s="402" t="s">
        <v>1235</v>
      </c>
      <c r="B1331" s="403" t="s">
        <v>1236</v>
      </c>
      <c r="C1331" s="404" t="s">
        <v>1237</v>
      </c>
      <c r="D1331" s="404" t="s">
        <v>104</v>
      </c>
      <c r="E1331" s="405">
        <v>5</v>
      </c>
      <c r="F1331" s="405">
        <v>0</v>
      </c>
      <c r="G1331" s="406">
        <f>PRODUCT(F1331*E1331)</f>
        <v>0</v>
      </c>
      <c r="H1331" s="107"/>
      <c r="I1331" s="107"/>
    </row>
    <row r="1332" spans="1:9" s="108" customFormat="1" ht="12">
      <c r="A1332" s="402" t="s">
        <v>1238</v>
      </c>
      <c r="B1332" s="403" t="s">
        <v>1239</v>
      </c>
      <c r="C1332" s="404" t="s">
        <v>1240</v>
      </c>
      <c r="D1332" s="404" t="s">
        <v>104</v>
      </c>
      <c r="E1332" s="405">
        <v>1</v>
      </c>
      <c r="F1332" s="405">
        <v>0</v>
      </c>
      <c r="G1332" s="406">
        <f>PRODUCT(F1332*E1332)</f>
        <v>0</v>
      </c>
      <c r="H1332" s="107"/>
      <c r="I1332" s="107"/>
    </row>
    <row r="1333" spans="1:9" s="108" customFormat="1" ht="12">
      <c r="A1333" s="490" t="s">
        <v>1241</v>
      </c>
      <c r="B1333" s="382" t="s">
        <v>1242</v>
      </c>
      <c r="C1333" s="383" t="s">
        <v>1243</v>
      </c>
      <c r="D1333" s="383" t="s">
        <v>104</v>
      </c>
      <c r="E1333" s="427">
        <v>5</v>
      </c>
      <c r="F1333" s="427">
        <v>0</v>
      </c>
      <c r="G1333" s="428">
        <f>PRODUCT(F1333*E1333)</f>
        <v>0</v>
      </c>
      <c r="H1333" s="107"/>
      <c r="I1333" s="107"/>
    </row>
    <row r="1334" spans="1:9" s="108" customFormat="1" ht="12">
      <c r="A1334" s="101" t="s">
        <v>1244</v>
      </c>
      <c r="B1334" s="109" t="s">
        <v>1245</v>
      </c>
      <c r="C1334" s="148" t="s">
        <v>1246</v>
      </c>
      <c r="D1334" s="148" t="s">
        <v>104</v>
      </c>
      <c r="E1334" s="149">
        <v>1</v>
      </c>
      <c r="F1334" s="149">
        <v>0</v>
      </c>
      <c r="G1334" s="111">
        <f>PRODUCT(F1334*E1334)</f>
        <v>0</v>
      </c>
      <c r="H1334" s="107"/>
      <c r="I1334" s="107"/>
    </row>
    <row r="1335" spans="1:9" s="108" customFormat="1" ht="12">
      <c r="A1335" s="101"/>
      <c r="B1335" s="109"/>
      <c r="C1335" s="148" t="s">
        <v>1247</v>
      </c>
      <c r="D1335" s="148"/>
      <c r="E1335" s="149"/>
      <c r="F1335" s="149"/>
      <c r="G1335" s="111"/>
      <c r="H1335" s="107"/>
      <c r="I1335" s="107"/>
    </row>
    <row r="1336" spans="1:9" s="108" customFormat="1" ht="12">
      <c r="A1336" s="101" t="s">
        <v>1248</v>
      </c>
      <c r="B1336" s="109" t="s">
        <v>1245</v>
      </c>
      <c r="C1336" s="148" t="s">
        <v>1249</v>
      </c>
      <c r="D1336" s="148" t="s">
        <v>104</v>
      </c>
      <c r="E1336" s="149">
        <v>1</v>
      </c>
      <c r="F1336" s="149">
        <v>0</v>
      </c>
      <c r="G1336" s="111">
        <f>PRODUCT(F1336*E1336)</f>
        <v>0</v>
      </c>
      <c r="H1336" s="107"/>
      <c r="I1336" s="107"/>
    </row>
    <row r="1337" spans="1:9" s="108" customFormat="1" ht="12">
      <c r="A1337" s="210"/>
      <c r="B1337" s="211"/>
      <c r="C1337" s="192" t="s">
        <v>1250</v>
      </c>
      <c r="D1337" s="192"/>
      <c r="E1337" s="193"/>
      <c r="F1337" s="193"/>
      <c r="G1337" s="194"/>
      <c r="H1337" s="107"/>
      <c r="I1337" s="107"/>
    </row>
    <row r="1338" spans="1:9" s="108" customFormat="1" ht="12">
      <c r="A1338" s="210" t="s">
        <v>1251</v>
      </c>
      <c r="B1338" s="109" t="s">
        <v>1252</v>
      </c>
      <c r="C1338" s="192" t="s">
        <v>1253</v>
      </c>
      <c r="D1338" s="192" t="s">
        <v>104</v>
      </c>
      <c r="E1338" s="193">
        <v>1</v>
      </c>
      <c r="F1338" s="193">
        <v>0</v>
      </c>
      <c r="G1338" s="194">
        <f>PRODUCT(F1338*E1338)</f>
        <v>0</v>
      </c>
      <c r="H1338" s="107"/>
      <c r="I1338" s="107"/>
    </row>
    <row r="1339" spans="1:9" s="108" customFormat="1" ht="12">
      <c r="A1339" s="210" t="s">
        <v>1254</v>
      </c>
      <c r="B1339" s="109" t="s">
        <v>1252</v>
      </c>
      <c r="C1339" s="192" t="s">
        <v>1255</v>
      </c>
      <c r="D1339" s="192" t="s">
        <v>593</v>
      </c>
      <c r="E1339" s="193">
        <v>16</v>
      </c>
      <c r="F1339" s="193">
        <v>0</v>
      </c>
      <c r="G1339" s="194">
        <f>PRODUCT(F1339*E1339)</f>
        <v>0</v>
      </c>
      <c r="H1339" s="107"/>
      <c r="I1339" s="107"/>
    </row>
    <row r="1340" spans="1:9" s="108" customFormat="1" ht="12">
      <c r="A1340" s="210" t="s">
        <v>1256</v>
      </c>
      <c r="B1340" s="211" t="s">
        <v>1257</v>
      </c>
      <c r="C1340" s="192" t="s">
        <v>1258</v>
      </c>
      <c r="D1340" s="192" t="s">
        <v>555</v>
      </c>
      <c r="E1340" s="193">
        <f>SUM(G1328:G1339)/100</f>
        <v>0</v>
      </c>
      <c r="F1340" s="193">
        <v>6</v>
      </c>
      <c r="G1340" s="194">
        <f>PRODUCT(F1340*E1340)</f>
        <v>0</v>
      </c>
      <c r="H1340" s="107"/>
      <c r="I1340" s="107"/>
    </row>
    <row r="1341" spans="1:9" s="108" customFormat="1" ht="12">
      <c r="A1341" s="101" t="s">
        <v>1259</v>
      </c>
      <c r="B1341" s="132" t="s">
        <v>1260</v>
      </c>
      <c r="C1341" s="214" t="s">
        <v>1261</v>
      </c>
      <c r="D1341" s="214" t="s">
        <v>555</v>
      </c>
      <c r="E1341" s="215">
        <f>SUM(G1328:G1339)/100</f>
        <v>0</v>
      </c>
      <c r="F1341" s="215">
        <v>2</v>
      </c>
      <c r="G1341" s="135">
        <f>PRODUCT(E1341*F1341)</f>
        <v>0</v>
      </c>
      <c r="H1341" s="107"/>
      <c r="I1341" s="107"/>
    </row>
    <row r="1342" spans="1:7" ht="12">
      <c r="A1342" s="124"/>
      <c r="B1342" s="352"/>
      <c r="C1342" s="353" t="s">
        <v>160</v>
      </c>
      <c r="D1342" s="354"/>
      <c r="E1342" s="355"/>
      <c r="F1342" s="356"/>
      <c r="G1342" s="357">
        <f>SUM(G1328:G1341)</f>
        <v>0</v>
      </c>
    </row>
    <row r="1343" spans="1:9" s="108" customFormat="1" ht="12">
      <c r="A1343" s="101"/>
      <c r="B1343" s="339"/>
      <c r="C1343" s="340" t="s">
        <v>1262</v>
      </c>
      <c r="D1343" s="341"/>
      <c r="E1343" s="342"/>
      <c r="F1343" s="342"/>
      <c r="G1343" s="343"/>
      <c r="H1343" s="107"/>
      <c r="I1343" s="107"/>
    </row>
    <row r="1344" spans="1:9" s="108" customFormat="1" ht="12">
      <c r="A1344" s="101" t="s">
        <v>1263</v>
      </c>
      <c r="B1344" s="109" t="s">
        <v>80</v>
      </c>
      <c r="C1344" s="148" t="s">
        <v>1264</v>
      </c>
      <c r="D1344" s="148" t="s">
        <v>104</v>
      </c>
      <c r="E1344" s="149">
        <v>1</v>
      </c>
      <c r="F1344" s="149">
        <v>0</v>
      </c>
      <c r="G1344" s="111">
        <f>PRODUCT(F1344*E1344)</f>
        <v>0</v>
      </c>
      <c r="H1344" s="107"/>
      <c r="I1344" s="107"/>
    </row>
    <row r="1345" spans="1:9" s="108" customFormat="1" ht="12">
      <c r="A1345" s="101"/>
      <c r="B1345" s="109"/>
      <c r="C1345" s="392" t="s">
        <v>1265</v>
      </c>
      <c r="D1345" s="148"/>
      <c r="E1345" s="149"/>
      <c r="F1345" s="149"/>
      <c r="G1345" s="111"/>
      <c r="H1345" s="107"/>
      <c r="I1345" s="107"/>
    </row>
    <row r="1346" spans="1:9" s="108" customFormat="1" ht="12">
      <c r="A1346" s="101" t="s">
        <v>1266</v>
      </c>
      <c r="B1346" s="109" t="s">
        <v>90</v>
      </c>
      <c r="C1346" s="148" t="s">
        <v>1267</v>
      </c>
      <c r="D1346" s="148" t="s">
        <v>1268</v>
      </c>
      <c r="E1346" s="149">
        <v>7</v>
      </c>
      <c r="F1346" s="149">
        <v>0</v>
      </c>
      <c r="G1346" s="111">
        <f>PRODUCT(F1346*E1346)</f>
        <v>0</v>
      </c>
      <c r="H1346" s="107"/>
      <c r="I1346" s="107"/>
    </row>
    <row r="1347" spans="1:9" s="108" customFormat="1" ht="12">
      <c r="A1347" s="101"/>
      <c r="B1347" s="109"/>
      <c r="C1347" s="392" t="s">
        <v>1269</v>
      </c>
      <c r="D1347" s="148"/>
      <c r="E1347" s="149"/>
      <c r="F1347" s="149"/>
      <c r="G1347" s="111"/>
      <c r="H1347" s="107"/>
      <c r="I1347" s="107"/>
    </row>
    <row r="1348" spans="1:9" s="108" customFormat="1" ht="12">
      <c r="A1348" s="101" t="s">
        <v>1270</v>
      </c>
      <c r="B1348" s="109" t="s">
        <v>101</v>
      </c>
      <c r="C1348" s="148" t="s">
        <v>1271</v>
      </c>
      <c r="D1348" s="148" t="s">
        <v>104</v>
      </c>
      <c r="E1348" s="149">
        <v>1</v>
      </c>
      <c r="F1348" s="149">
        <v>0</v>
      </c>
      <c r="G1348" s="111">
        <f>PRODUCT(F1348*E1348)</f>
        <v>0</v>
      </c>
      <c r="H1348" s="107"/>
      <c r="I1348" s="107"/>
    </row>
    <row r="1349" spans="1:9" s="108" customFormat="1" ht="12">
      <c r="A1349" s="101" t="s">
        <v>1272</v>
      </c>
      <c r="B1349" s="109" t="s">
        <v>108</v>
      </c>
      <c r="C1349" s="148" t="s">
        <v>1273</v>
      </c>
      <c r="D1349" s="148" t="s">
        <v>104</v>
      </c>
      <c r="E1349" s="149">
        <v>1</v>
      </c>
      <c r="F1349" s="149">
        <v>0</v>
      </c>
      <c r="G1349" s="111">
        <f>PRODUCT(F1349*E1349)</f>
        <v>0</v>
      </c>
      <c r="H1349" s="107"/>
      <c r="I1349" s="107"/>
    </row>
    <row r="1350" spans="1:9" s="108" customFormat="1" ht="12">
      <c r="A1350" s="101" t="s">
        <v>1274</v>
      </c>
      <c r="B1350" s="226" t="s">
        <v>113</v>
      </c>
      <c r="C1350" s="187" t="s">
        <v>1275</v>
      </c>
      <c r="D1350" s="187" t="s">
        <v>104</v>
      </c>
      <c r="E1350" s="188">
        <v>1</v>
      </c>
      <c r="F1350" s="188">
        <v>0</v>
      </c>
      <c r="G1350" s="111">
        <f>PRODUCT(F1350*E1350)</f>
        <v>0</v>
      </c>
      <c r="H1350" s="107"/>
      <c r="I1350" s="107"/>
    </row>
    <row r="1351" spans="1:9" s="108" customFormat="1" ht="12">
      <c r="A1351" s="101"/>
      <c r="B1351" s="226"/>
      <c r="C1351" s="393" t="s">
        <v>1276</v>
      </c>
      <c r="D1351" s="187"/>
      <c r="E1351" s="188"/>
      <c r="F1351" s="188"/>
      <c r="G1351" s="227"/>
      <c r="H1351" s="107"/>
      <c r="I1351" s="107"/>
    </row>
    <row r="1352" spans="1:9" s="108" customFormat="1" ht="12">
      <c r="A1352" s="101" t="s">
        <v>1277</v>
      </c>
      <c r="B1352" s="132" t="s">
        <v>123</v>
      </c>
      <c r="C1352" s="214" t="s">
        <v>1278</v>
      </c>
      <c r="D1352" s="214" t="s">
        <v>104</v>
      </c>
      <c r="E1352" s="215">
        <v>14</v>
      </c>
      <c r="F1352" s="215">
        <v>0</v>
      </c>
      <c r="G1352" s="135">
        <f>E1352*F1352</f>
        <v>0</v>
      </c>
      <c r="H1352" s="107"/>
      <c r="I1352" s="107"/>
    </row>
    <row r="1353" spans="1:9" s="108" customFormat="1" ht="12">
      <c r="A1353" s="124"/>
      <c r="B1353" s="352"/>
      <c r="C1353" s="353" t="s">
        <v>160</v>
      </c>
      <c r="D1353" s="354"/>
      <c r="E1353" s="355"/>
      <c r="F1353" s="356"/>
      <c r="G1353" s="357">
        <f>SUM(G1344:G1352)</f>
        <v>0</v>
      </c>
      <c r="H1353" s="107"/>
      <c r="I1353" s="107"/>
    </row>
    <row r="1354" spans="1:9" s="108" customFormat="1" ht="12">
      <c r="A1354" s="88"/>
      <c r="B1354" s="394"/>
      <c r="C1354" s="395"/>
      <c r="D1354" s="395"/>
      <c r="E1354" s="396"/>
      <c r="F1354" s="396"/>
      <c r="G1354" s="396"/>
      <c r="H1354" s="107"/>
      <c r="I1354" s="107"/>
    </row>
    <row r="1355" spans="1:9" s="108" customFormat="1" ht="12">
      <c r="A1355" s="88"/>
      <c r="B1355" s="394"/>
      <c r="C1355" s="395"/>
      <c r="D1355" s="395"/>
      <c r="E1355" s="397"/>
      <c r="F1355" s="397"/>
      <c r="G1355" s="396"/>
      <c r="H1355" s="107"/>
      <c r="I1355" s="107"/>
    </row>
    <row r="1356" spans="1:9" s="108" customFormat="1" ht="12">
      <c r="A1356" s="88"/>
      <c r="C1356" s="394" t="s">
        <v>1279</v>
      </c>
      <c r="D1356" s="398"/>
      <c r="E1356" s="395"/>
      <c r="F1356" s="261"/>
      <c r="G1356" s="261"/>
      <c r="H1356" s="107"/>
      <c r="I1356" s="107"/>
    </row>
    <row r="1357" spans="1:9" s="108" customFormat="1" ht="12">
      <c r="A1357" s="88"/>
      <c r="C1357" s="394" t="s">
        <v>1280</v>
      </c>
      <c r="D1357" s="395"/>
      <c r="E1357" s="395"/>
      <c r="F1357" s="397"/>
      <c r="G1357" s="397"/>
      <c r="H1357" s="107"/>
      <c r="I1357" s="107"/>
    </row>
    <row r="1358" spans="1:9" s="108" customFormat="1" ht="12">
      <c r="A1358" s="88"/>
      <c r="C1358" s="394"/>
      <c r="D1358" s="395"/>
      <c r="E1358" s="395"/>
      <c r="F1358" s="397"/>
      <c r="G1358" s="397"/>
      <c r="H1358" s="399"/>
      <c r="I1358" s="107"/>
    </row>
    <row r="1359" spans="1:9" s="108" customFormat="1" ht="12">
      <c r="A1359" s="88"/>
      <c r="C1359" s="394" t="s">
        <v>1281</v>
      </c>
      <c r="D1359" s="395"/>
      <c r="E1359" s="395"/>
      <c r="F1359" s="397"/>
      <c r="G1359" s="397"/>
      <c r="H1359" s="261"/>
      <c r="I1359" s="107"/>
    </row>
    <row r="1360" spans="1:9" s="108" customFormat="1" ht="12">
      <c r="A1360" s="88"/>
      <c r="C1360" s="394"/>
      <c r="D1360" s="395"/>
      <c r="E1360" s="395"/>
      <c r="F1360" s="397"/>
      <c r="G1360" s="397"/>
      <c r="H1360" s="261"/>
      <c r="I1360" s="107"/>
    </row>
    <row r="1361" spans="1:9" s="108" customFormat="1" ht="12">
      <c r="A1361" s="88"/>
      <c r="C1361" s="394" t="s">
        <v>1282</v>
      </c>
      <c r="D1361" s="395"/>
      <c r="E1361" s="395"/>
      <c r="F1361" s="397"/>
      <c r="G1361" s="397"/>
      <c r="H1361" s="261"/>
      <c r="I1361" s="107"/>
    </row>
    <row r="1362" spans="1:9" s="108" customFormat="1" ht="12">
      <c r="A1362" s="88"/>
      <c r="C1362" s="400" t="s">
        <v>1283</v>
      </c>
      <c r="D1362" s="395"/>
      <c r="E1362" s="395"/>
      <c r="F1362" s="397"/>
      <c r="G1362" s="397"/>
      <c r="H1362" s="107"/>
      <c r="I1362" s="107"/>
    </row>
  </sheetData>
  <sheetProtection selectLockedCells="1" selectUnlockedCells="1"/>
  <printOptions/>
  <pageMargins left="0.6299212598425197" right="0.2755905511811024" top="1.2598425196850394" bottom="0.7480314960629921" header="0.7874015748031497" footer="0.5118110236220472"/>
  <pageSetup horizontalDpi="300" verticalDpi="300" orientation="landscape" paperSize="9" r:id="rId1"/>
  <headerFooter alignWithMargins="0">
    <oddHeader>&amp;L&amp;8Změna stavby před dokončením PPC a SPC Vysočina-Rekonstrukce budovy pro pracoviště Havlíčkův Brod U Panských č.p.1452&amp;R&amp;8Soupis prací PPP a SPC</oddHeader>
    <oddFooter>&amp;C&amp;"Times New Roman,obyčejné"&amp;8Stránka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6"/>
  <sheetViews>
    <sheetView zoomScale="105" zoomScaleNormal="105" zoomScalePageLayoutView="0" workbookViewId="0" topLeftCell="A25">
      <selection activeCell="C37" sqref="C37"/>
    </sheetView>
  </sheetViews>
  <sheetFormatPr defaultColWidth="9.25390625" defaultRowHeight="12.75"/>
  <cols>
    <col min="1" max="1" width="9.25390625" style="66" customWidth="1"/>
    <col min="2" max="2" width="80.875" style="67" customWidth="1"/>
    <col min="3" max="3" width="26.625" style="67" customWidth="1"/>
    <col min="4" max="16384" width="9.25390625" style="67" customWidth="1"/>
  </cols>
  <sheetData>
    <row r="2" spans="1:3" ht="12.75">
      <c r="A2" s="68"/>
      <c r="B2" s="69" t="s">
        <v>12</v>
      </c>
      <c r="C2" s="70" t="s">
        <v>13</v>
      </c>
    </row>
    <row r="3" spans="1:3" ht="12.75">
      <c r="A3" s="71">
        <v>3</v>
      </c>
      <c r="B3" s="72" t="s">
        <v>14</v>
      </c>
      <c r="C3" s="73">
        <f>'Položky psycho+archiv'!G26</f>
        <v>0</v>
      </c>
    </row>
    <row r="4" spans="1:3" ht="12.75">
      <c r="A4" s="71">
        <v>61</v>
      </c>
      <c r="B4" s="72" t="s">
        <v>16</v>
      </c>
      <c r="C4" s="73">
        <f>'Položky psycho+archiv'!G115</f>
        <v>0</v>
      </c>
    </row>
    <row r="5" spans="1:3" ht="12.75">
      <c r="A5" s="71">
        <v>63</v>
      </c>
      <c r="B5" s="72" t="str">
        <f>'Položky psycho+archiv'!C116</f>
        <v>Podlahy a podlahové konstrukce</v>
      </c>
      <c r="C5" s="73">
        <f>'Položky psycho+archiv'!G149</f>
        <v>0</v>
      </c>
    </row>
    <row r="6" spans="1:3" ht="12.75">
      <c r="A6" s="71">
        <v>94</v>
      </c>
      <c r="B6" s="72" t="s">
        <v>19</v>
      </c>
      <c r="C6" s="73">
        <f>'Položky psycho+archiv'!G156</f>
        <v>0</v>
      </c>
    </row>
    <row r="7" spans="1:3" ht="15.75" customHeight="1">
      <c r="A7" s="71">
        <v>95</v>
      </c>
      <c r="B7" s="72" t="s">
        <v>20</v>
      </c>
      <c r="C7" s="73">
        <f>'Položky psycho+archiv'!G268</f>
        <v>0</v>
      </c>
    </row>
    <row r="8" spans="1:3" ht="15.75" customHeight="1">
      <c r="A8" s="71">
        <v>711</v>
      </c>
      <c r="B8" s="72" t="str">
        <f>'Položky psycho+archiv'!C269</f>
        <v>Izolace proti vodě</v>
      </c>
      <c r="C8" s="73">
        <f>'Položky psycho+archiv'!G274</f>
        <v>0</v>
      </c>
    </row>
    <row r="9" spans="1:3" ht="15.75" customHeight="1">
      <c r="A9" s="71">
        <v>721</v>
      </c>
      <c r="B9" s="72" t="s">
        <v>23</v>
      </c>
      <c r="C9" s="73">
        <f>'Položky psycho+archiv'!G289</f>
        <v>0</v>
      </c>
    </row>
    <row r="10" spans="1:3" ht="15.75" customHeight="1">
      <c r="A10" s="71">
        <v>722</v>
      </c>
      <c r="B10" s="72" t="s">
        <v>24</v>
      </c>
      <c r="C10" s="73">
        <f>'Položky psycho+archiv'!G297</f>
        <v>0</v>
      </c>
    </row>
    <row r="11" spans="1:3" ht="15.75" customHeight="1">
      <c r="A11" s="71">
        <v>725</v>
      </c>
      <c r="B11" s="72" t="s">
        <v>25</v>
      </c>
      <c r="C11" s="73">
        <f>'Položky psycho+archiv'!G313</f>
        <v>0</v>
      </c>
    </row>
    <row r="12" spans="1:3" ht="15.75" customHeight="1">
      <c r="A12" s="71">
        <v>733</v>
      </c>
      <c r="B12" s="72" t="str">
        <f>'Položky psycho+archiv'!C314</f>
        <v>Rozvod potrubí</v>
      </c>
      <c r="C12" s="73">
        <f>'Položky psycho+archiv'!G323</f>
        <v>0</v>
      </c>
    </row>
    <row r="13" spans="1:3" ht="15.75" customHeight="1">
      <c r="A13" s="71">
        <v>735</v>
      </c>
      <c r="B13" s="72" t="str">
        <f>'Položky psycho+archiv'!C324</f>
        <v>Otopná tělesa</v>
      </c>
      <c r="C13" s="73">
        <f>'Položky psycho+archiv'!G331</f>
        <v>0</v>
      </c>
    </row>
    <row r="14" spans="1:3" ht="15.75" customHeight="1">
      <c r="A14" s="71">
        <v>734</v>
      </c>
      <c r="B14" s="72" t="s">
        <v>27</v>
      </c>
      <c r="C14" s="73">
        <f>'Položky psycho+archiv'!G339</f>
        <v>0</v>
      </c>
    </row>
    <row r="15" spans="1:3" ht="15.75" customHeight="1">
      <c r="A15" s="71">
        <v>766</v>
      </c>
      <c r="B15" s="72" t="s">
        <v>29</v>
      </c>
      <c r="C15" s="73">
        <f>'Položky psycho+archiv'!G360</f>
        <v>0</v>
      </c>
    </row>
    <row r="16" spans="1:3" ht="15.75" customHeight="1">
      <c r="A16" s="71">
        <v>771</v>
      </c>
      <c r="B16" s="72" t="s">
        <v>31</v>
      </c>
      <c r="C16" s="73">
        <f>'Položky psycho+archiv'!G410</f>
        <v>0</v>
      </c>
    </row>
    <row r="17" spans="1:3" ht="15.75" customHeight="1">
      <c r="A17" s="71">
        <v>776</v>
      </c>
      <c r="B17" s="72" t="s">
        <v>32</v>
      </c>
      <c r="C17" s="73">
        <f>'Položky psycho+archiv'!G432</f>
        <v>0</v>
      </c>
    </row>
    <row r="18" spans="1:3" ht="15.75" customHeight="1">
      <c r="A18" s="71">
        <v>781</v>
      </c>
      <c r="B18" s="72" t="s">
        <v>33</v>
      </c>
      <c r="C18" s="73">
        <f>'Položky psycho+archiv'!G469</f>
        <v>0</v>
      </c>
    </row>
    <row r="19" spans="1:3" ht="15.75" customHeight="1">
      <c r="A19" s="71">
        <v>783</v>
      </c>
      <c r="B19" s="72" t="s">
        <v>34</v>
      </c>
      <c r="C19" s="73">
        <f>'Položky psycho+archiv'!G507</f>
        <v>0</v>
      </c>
    </row>
    <row r="20" spans="1:4" s="486" customFormat="1" ht="15.75" customHeight="1">
      <c r="A20" s="71" t="s">
        <v>35</v>
      </c>
      <c r="B20" s="487" t="s">
        <v>930</v>
      </c>
      <c r="C20" s="73">
        <f>'Položky psycho+archiv'!G511</f>
        <v>0</v>
      </c>
      <c r="D20" s="485"/>
    </row>
    <row r="21" spans="1:4" ht="15.75" customHeight="1">
      <c r="A21" s="71" t="s">
        <v>41</v>
      </c>
      <c r="B21" s="487" t="s">
        <v>1008</v>
      </c>
      <c r="C21" s="73">
        <f>'Položky psycho+archiv'!G520</f>
        <v>0</v>
      </c>
      <c r="D21" s="485"/>
    </row>
    <row r="22" spans="1:4" ht="15.75" customHeight="1">
      <c r="A22" s="71" t="s">
        <v>43</v>
      </c>
      <c r="B22" s="487" t="s">
        <v>1036</v>
      </c>
      <c r="C22" s="73">
        <f>'Položky psycho+archiv'!G532</f>
        <v>0</v>
      </c>
      <c r="D22" s="485"/>
    </row>
    <row r="23" spans="1:4" ht="15.75" customHeight="1">
      <c r="A23" s="71" t="s">
        <v>45</v>
      </c>
      <c r="B23" s="487" t="s">
        <v>1067</v>
      </c>
      <c r="C23" s="73">
        <f>'Položky psycho+archiv'!G538</f>
        <v>0</v>
      </c>
      <c r="D23" s="485"/>
    </row>
    <row r="24" spans="1:4" ht="15.75" customHeight="1">
      <c r="A24" s="71" t="s">
        <v>49</v>
      </c>
      <c r="B24" s="487" t="s">
        <v>1106</v>
      </c>
      <c r="C24" s="73">
        <f>'Položky psycho+archiv'!G542</f>
        <v>0</v>
      </c>
      <c r="D24" s="485"/>
    </row>
    <row r="25" spans="1:4" ht="15.75" customHeight="1">
      <c r="A25" s="71" t="s">
        <v>55</v>
      </c>
      <c r="B25" s="487" t="s">
        <v>1160</v>
      </c>
      <c r="C25" s="73">
        <f>'Položky psycho+archiv'!G550</f>
        <v>0</v>
      </c>
      <c r="D25" s="485"/>
    </row>
    <row r="26" spans="1:4" ht="15.75" customHeight="1">
      <c r="A26" s="71" t="s">
        <v>57</v>
      </c>
      <c r="B26" s="487" t="s">
        <v>1177</v>
      </c>
      <c r="C26" s="73">
        <f>'Položky psycho+archiv'!G562</f>
        <v>0</v>
      </c>
      <c r="D26" s="485"/>
    </row>
    <row r="27" spans="1:4" ht="15.75" customHeight="1">
      <c r="A27" s="71" t="s">
        <v>59</v>
      </c>
      <c r="B27" s="487" t="s">
        <v>1198</v>
      </c>
      <c r="C27" s="73">
        <f>'Položky psycho+archiv'!G567</f>
        <v>0</v>
      </c>
      <c r="D27" s="485"/>
    </row>
    <row r="28" spans="1:4" ht="15.75" customHeight="1">
      <c r="A28" s="71" t="s">
        <v>35</v>
      </c>
      <c r="B28" s="487" t="s">
        <v>1363</v>
      </c>
      <c r="C28" s="73">
        <f>'Položky psycho+archiv'!G575</f>
        <v>0</v>
      </c>
      <c r="D28" s="485"/>
    </row>
    <row r="29" spans="1:4" ht="15.75" customHeight="1">
      <c r="A29" s="71" t="s">
        <v>49</v>
      </c>
      <c r="B29" s="487" t="s">
        <v>1364</v>
      </c>
      <c r="C29" s="73">
        <f>'Položky psycho+archiv'!G585</f>
        <v>0</v>
      </c>
      <c r="D29" s="485"/>
    </row>
    <row r="30" spans="1:3" ht="15.75" customHeight="1">
      <c r="A30" s="74" t="s">
        <v>63</v>
      </c>
      <c r="B30" s="74" t="s">
        <v>64</v>
      </c>
      <c r="C30" s="75">
        <f>'Položky psycho+archiv'!G597</f>
        <v>0</v>
      </c>
    </row>
    <row r="31" spans="1:3" ht="15.75" customHeight="1">
      <c r="A31" s="76"/>
      <c r="B31" s="77" t="s">
        <v>65</v>
      </c>
      <c r="C31" s="78">
        <f>SUM(C3:C30)</f>
        <v>0</v>
      </c>
    </row>
    <row r="32" spans="1:3" ht="9.75" customHeight="1">
      <c r="A32" s="76"/>
      <c r="B32" s="77"/>
      <c r="C32" s="78"/>
    </row>
    <row r="33" spans="1:3" ht="15.75" customHeight="1">
      <c r="A33" s="79" t="s">
        <v>66</v>
      </c>
      <c r="B33" s="80" t="str">
        <f>'Položky PPP a SPC'!C1343</f>
        <v>Vedlejší  a ostatní náklady</v>
      </c>
      <c r="C33" s="75">
        <f>'Položky psycho+archiv'!G608</f>
        <v>0</v>
      </c>
    </row>
    <row r="34" spans="1:3" ht="15.75" customHeight="1">
      <c r="A34" s="81"/>
      <c r="B34" s="77" t="s">
        <v>67</v>
      </c>
      <c r="C34" s="82">
        <f>SUM(C33:C33)</f>
        <v>0</v>
      </c>
    </row>
    <row r="35" spans="1:3" ht="15.75" customHeight="1">
      <c r="A35" s="71"/>
      <c r="B35" s="83"/>
      <c r="C35" s="73"/>
    </row>
    <row r="36" spans="1:3" ht="15.75" customHeight="1">
      <c r="A36" s="71"/>
      <c r="B36" s="84" t="s">
        <v>68</v>
      </c>
      <c r="C36" s="85">
        <f>ROUND((C31+C34),0)</f>
        <v>0</v>
      </c>
    </row>
    <row r="37" spans="1:3" ht="9.75" customHeight="1">
      <c r="A37" s="71"/>
      <c r="B37" s="86"/>
      <c r="C37" s="78"/>
    </row>
    <row r="38" spans="1:3" ht="15.75" customHeight="1">
      <c r="A38" s="87"/>
      <c r="B38" s="86" t="s">
        <v>69</v>
      </c>
      <c r="C38" s="78">
        <f>ROUND(C36*0.21,0)</f>
        <v>0</v>
      </c>
    </row>
    <row r="39" spans="1:3" ht="9.75" customHeight="1">
      <c r="A39" s="87"/>
      <c r="B39" s="83"/>
      <c r="C39" s="83"/>
    </row>
    <row r="40" spans="1:3" ht="15.75" customHeight="1">
      <c r="A40" s="71"/>
      <c r="B40" s="84" t="s">
        <v>8</v>
      </c>
      <c r="C40" s="85">
        <f>ROUND((C36+C38),0)</f>
        <v>0</v>
      </c>
    </row>
    <row r="43" ht="12.75">
      <c r="B43" s="67" t="s">
        <v>70</v>
      </c>
    </row>
    <row r="46" ht="12.75">
      <c r="B46" s="67" t="s">
        <v>71</v>
      </c>
    </row>
  </sheetData>
  <sheetProtection selectLockedCells="1" selectUnlockedCells="1"/>
  <printOptions/>
  <pageMargins left="0.7874015748031497" right="0.7874015748031497" top="1.299212598425197" bottom="0.6692913385826772" header="0.7874015748031497" footer="0.4724409448818898"/>
  <pageSetup fitToHeight="1" fitToWidth="1" horizontalDpi="300" verticalDpi="300" orientation="landscape" paperSize="9" scale="70" r:id="rId1"/>
  <headerFooter alignWithMargins="0">
    <oddHeader>&amp;L&amp;"Arial,Obyčejné"&amp;8Změna stavby před dokončením PPP a SPC Vysočina-Rekonstrukce budovy pro pracoviště Havlíčkův Brod, U Panských č.p.1452&amp;R&amp;"Arial,Obyčejné"&amp;8Rekapitulace soupisu prací psycho+ archiv</oddHeader>
    <oddFooter>&amp;C&amp;"Arial,obyčejné"&amp;8Stránka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B616"/>
  <sheetViews>
    <sheetView zoomScalePageLayoutView="0" workbookViewId="0" topLeftCell="A244">
      <selection activeCell="C291" sqref="C291"/>
    </sheetView>
  </sheetViews>
  <sheetFormatPr defaultColWidth="9.25390625" defaultRowHeight="12.75"/>
  <cols>
    <col min="1" max="1" width="5.625" style="88" customWidth="1"/>
    <col min="2" max="2" width="14.875" style="88" customWidth="1"/>
    <col min="3" max="3" width="60.125" style="108" customWidth="1"/>
    <col min="4" max="4" width="4.25390625" style="88" customWidth="1"/>
    <col min="5" max="5" width="10.75390625" style="108" customWidth="1"/>
    <col min="6" max="6" width="11.625" style="108" customWidth="1"/>
    <col min="7" max="7" width="13.125" style="108" customWidth="1"/>
    <col min="8" max="8" width="13.125" style="107" customWidth="1"/>
    <col min="9" max="9" width="7.75390625" style="107" customWidth="1"/>
    <col min="10" max="16384" width="9.25390625" style="108" customWidth="1"/>
  </cols>
  <sheetData>
    <row r="1" spans="1:9" s="100" customFormat="1" ht="12">
      <c r="A1" s="491" t="s">
        <v>72</v>
      </c>
      <c r="B1" s="492" t="s">
        <v>73</v>
      </c>
      <c r="C1" s="493" t="s">
        <v>74</v>
      </c>
      <c r="D1" s="492" t="s">
        <v>75</v>
      </c>
      <c r="E1" s="494" t="s">
        <v>76</v>
      </c>
      <c r="F1" s="494" t="s">
        <v>77</v>
      </c>
      <c r="G1" s="495" t="s">
        <v>78</v>
      </c>
      <c r="H1" s="99"/>
      <c r="I1" s="99"/>
    </row>
    <row r="2" spans="1:7" ht="12">
      <c r="A2" s="402"/>
      <c r="B2" s="496">
        <v>3</v>
      </c>
      <c r="C2" s="497" t="s">
        <v>79</v>
      </c>
      <c r="D2" s="402"/>
      <c r="E2" s="415"/>
      <c r="F2" s="415"/>
      <c r="G2" s="498"/>
    </row>
    <row r="3" spans="1:7" ht="12">
      <c r="A3" s="402" t="s">
        <v>80</v>
      </c>
      <c r="B3" s="403" t="s">
        <v>124</v>
      </c>
      <c r="C3" s="415" t="s">
        <v>125</v>
      </c>
      <c r="D3" s="402" t="s">
        <v>93</v>
      </c>
      <c r="E3" s="499">
        <v>38.1</v>
      </c>
      <c r="F3" s="499">
        <v>0</v>
      </c>
      <c r="G3" s="406">
        <f>E3*F3</f>
        <v>0</v>
      </c>
    </row>
    <row r="4" spans="1:7" ht="12">
      <c r="A4" s="402"/>
      <c r="B4" s="500" t="s">
        <v>261</v>
      </c>
      <c r="C4" s="415">
        <f>(1.24*2.91)-(0.7*1.97)</f>
        <v>2.2294</v>
      </c>
      <c r="D4" s="402"/>
      <c r="E4" s="499"/>
      <c r="F4" s="499"/>
      <c r="G4" s="406"/>
    </row>
    <row r="5" spans="1:7" ht="12">
      <c r="A5" s="402"/>
      <c r="B5" s="500" t="s">
        <v>1293</v>
      </c>
      <c r="C5" s="415">
        <f>(2.3*2.1)*2+(1.8*2.1)</f>
        <v>13.440000000000001</v>
      </c>
      <c r="D5" s="402"/>
      <c r="E5" s="499"/>
      <c r="F5" s="499"/>
      <c r="G5" s="406"/>
    </row>
    <row r="6" spans="1:7" ht="12">
      <c r="A6" s="402"/>
      <c r="B6" s="500" t="s">
        <v>1297</v>
      </c>
      <c r="C6" s="415">
        <f>(2.2+2.45)*2.91-(0.7*1.97)*2</f>
        <v>10.773500000000002</v>
      </c>
      <c r="D6" s="402"/>
      <c r="E6" s="499"/>
      <c r="F6" s="499"/>
      <c r="G6" s="406"/>
    </row>
    <row r="7" spans="1:7" ht="12">
      <c r="A7" s="402"/>
      <c r="B7" s="500" t="s">
        <v>1299</v>
      </c>
      <c r="C7" s="415">
        <f>(2.57*2.91)-(0.8*1.97)</f>
        <v>5.902699999999999</v>
      </c>
      <c r="D7" s="402"/>
      <c r="E7" s="499"/>
      <c r="F7" s="499"/>
      <c r="G7" s="406"/>
    </row>
    <row r="8" spans="1:7" ht="12">
      <c r="A8" s="402"/>
      <c r="B8" s="500" t="s">
        <v>1300</v>
      </c>
      <c r="C8" s="415">
        <f>(2.57*2.91)-(0.9*1.97)</f>
        <v>5.7057</v>
      </c>
      <c r="D8" s="402"/>
      <c r="E8" s="499"/>
      <c r="F8" s="499"/>
      <c r="G8" s="406"/>
    </row>
    <row r="9" spans="1:7" ht="12">
      <c r="A9" s="402"/>
      <c r="B9" s="500"/>
      <c r="C9" s="415">
        <f>SUM(C4:C8)</f>
        <v>38.051300000000005</v>
      </c>
      <c r="D9" s="402"/>
      <c r="E9" s="499"/>
      <c r="F9" s="499"/>
      <c r="G9" s="406"/>
    </row>
    <row r="10" spans="1:7" ht="12">
      <c r="A10" s="402" t="s">
        <v>90</v>
      </c>
      <c r="B10" s="403" t="s">
        <v>114</v>
      </c>
      <c r="C10" s="415" t="s">
        <v>115</v>
      </c>
      <c r="D10" s="402" t="s">
        <v>93</v>
      </c>
      <c r="E10" s="499">
        <v>6.93</v>
      </c>
      <c r="F10" s="499">
        <v>0</v>
      </c>
      <c r="G10" s="406">
        <f>E10*F10</f>
        <v>0</v>
      </c>
    </row>
    <row r="11" spans="1:7" ht="12">
      <c r="A11" s="402"/>
      <c r="B11" s="500" t="s">
        <v>261</v>
      </c>
      <c r="C11" s="415">
        <f>(1.1*2.1)</f>
        <v>2.3100000000000005</v>
      </c>
      <c r="D11" s="402"/>
      <c r="E11" s="499"/>
      <c r="F11" s="499"/>
      <c r="G11" s="406"/>
    </row>
    <row r="12" spans="1:7" ht="12">
      <c r="A12" s="402"/>
      <c r="B12" s="500" t="s">
        <v>195</v>
      </c>
      <c r="C12" s="415">
        <f>(1.1*2.1)</f>
        <v>2.3100000000000005</v>
      </c>
      <c r="D12" s="402"/>
      <c r="E12" s="499"/>
      <c r="F12" s="499"/>
      <c r="G12" s="406"/>
    </row>
    <row r="13" spans="1:7" ht="12">
      <c r="A13" s="402"/>
      <c r="B13" s="500" t="s">
        <v>1300</v>
      </c>
      <c r="C13" s="415">
        <f>(1.1*2.1)</f>
        <v>2.3100000000000005</v>
      </c>
      <c r="D13" s="402"/>
      <c r="E13" s="499"/>
      <c r="F13" s="499"/>
      <c r="G13" s="406"/>
    </row>
    <row r="14" spans="1:7" ht="12">
      <c r="A14" s="402"/>
      <c r="B14" s="500"/>
      <c r="C14" s="415">
        <f>SUM(C11:C13)</f>
        <v>6.9300000000000015</v>
      </c>
      <c r="D14" s="402"/>
      <c r="E14" s="499"/>
      <c r="F14" s="499"/>
      <c r="G14" s="406"/>
    </row>
    <row r="15" spans="1:7" ht="12">
      <c r="A15" s="402" t="s">
        <v>101</v>
      </c>
      <c r="B15" s="403" t="s">
        <v>1356</v>
      </c>
      <c r="C15" s="415" t="s">
        <v>1357</v>
      </c>
      <c r="D15" s="402" t="s">
        <v>83</v>
      </c>
      <c r="E15" s="499">
        <v>5</v>
      </c>
      <c r="F15" s="499">
        <v>0</v>
      </c>
      <c r="G15" s="406">
        <f>E15*F15</f>
        <v>0</v>
      </c>
    </row>
    <row r="16" spans="1:7" ht="12">
      <c r="A16" s="402"/>
      <c r="B16" s="500" t="s">
        <v>1295</v>
      </c>
      <c r="C16" s="415">
        <v>5</v>
      </c>
      <c r="D16" s="402"/>
      <c r="E16" s="499"/>
      <c r="F16" s="499"/>
      <c r="G16" s="406"/>
    </row>
    <row r="17" spans="1:7" ht="12">
      <c r="A17" s="402" t="s">
        <v>108</v>
      </c>
      <c r="B17" s="403" t="s">
        <v>91</v>
      </c>
      <c r="C17" s="415" t="s">
        <v>92</v>
      </c>
      <c r="D17" s="402" t="s">
        <v>93</v>
      </c>
      <c r="E17" s="499">
        <v>5.88</v>
      </c>
      <c r="F17" s="499">
        <v>0</v>
      </c>
      <c r="G17" s="406">
        <f>E17*F17</f>
        <v>0</v>
      </c>
    </row>
    <row r="18" spans="1:7" ht="12">
      <c r="A18" s="402"/>
      <c r="B18" s="425"/>
      <c r="C18" s="415" t="s">
        <v>94</v>
      </c>
      <c r="D18" s="402"/>
      <c r="E18" s="499"/>
      <c r="F18" s="499"/>
      <c r="G18" s="406"/>
    </row>
    <row r="19" spans="1:7" ht="12">
      <c r="A19" s="402"/>
      <c r="B19" s="425"/>
      <c r="C19" s="415" t="s">
        <v>1305</v>
      </c>
      <c r="D19" s="402"/>
      <c r="E19" s="499"/>
      <c r="F19" s="499"/>
      <c r="G19" s="406"/>
    </row>
    <row r="20" spans="1:7" ht="12">
      <c r="A20" s="402"/>
      <c r="B20" s="403"/>
      <c r="C20" s="415">
        <f>(0.2*2.1*2)*7</f>
        <v>5.880000000000001</v>
      </c>
      <c r="D20" s="402"/>
      <c r="E20" s="499"/>
      <c r="F20" s="499"/>
      <c r="G20" s="406"/>
    </row>
    <row r="21" spans="1:7" ht="12">
      <c r="A21" s="402" t="s">
        <v>113</v>
      </c>
      <c r="B21" s="403" t="s">
        <v>102</v>
      </c>
      <c r="C21" s="415" t="s">
        <v>103</v>
      </c>
      <c r="D21" s="402" t="s">
        <v>104</v>
      </c>
      <c r="E21" s="499">
        <v>9</v>
      </c>
      <c r="F21" s="499">
        <v>0</v>
      </c>
      <c r="G21" s="406">
        <f>E21*F21</f>
        <v>0</v>
      </c>
    </row>
    <row r="22" spans="1:7" ht="12">
      <c r="A22" s="402"/>
      <c r="B22" s="425"/>
      <c r="C22" s="415" t="s">
        <v>106</v>
      </c>
      <c r="D22" s="402"/>
      <c r="E22" s="499"/>
      <c r="F22" s="499"/>
      <c r="G22" s="406"/>
    </row>
    <row r="23" spans="1:7" ht="12">
      <c r="A23" s="402"/>
      <c r="B23" s="403"/>
      <c r="C23" s="402">
        <v>9</v>
      </c>
      <c r="D23" s="402"/>
      <c r="E23" s="499"/>
      <c r="F23" s="499"/>
      <c r="G23" s="406"/>
    </row>
    <row r="24" spans="1:7" ht="12">
      <c r="A24" s="402" t="s">
        <v>123</v>
      </c>
      <c r="B24" s="403" t="s">
        <v>1320</v>
      </c>
      <c r="C24" s="415" t="s">
        <v>1321</v>
      </c>
      <c r="D24" s="402" t="s">
        <v>157</v>
      </c>
      <c r="E24" s="499">
        <v>6.4</v>
      </c>
      <c r="F24" s="499">
        <v>0</v>
      </c>
      <c r="G24" s="406">
        <f>E24*F24</f>
        <v>0</v>
      </c>
    </row>
    <row r="25" spans="1:7" ht="12.75" thickBot="1">
      <c r="A25" s="584"/>
      <c r="B25" s="585"/>
      <c r="C25" s="586" t="s">
        <v>1322</v>
      </c>
      <c r="D25" s="584"/>
      <c r="E25" s="587"/>
      <c r="F25" s="587"/>
      <c r="G25" s="588"/>
    </row>
    <row r="26" spans="1:7" ht="12.75" thickTop="1">
      <c r="A26" s="579"/>
      <c r="B26" s="580"/>
      <c r="C26" s="581" t="s">
        <v>160</v>
      </c>
      <c r="D26" s="580"/>
      <c r="E26" s="582"/>
      <c r="F26" s="582"/>
      <c r="G26" s="583">
        <f>SUM(G2:G25)</f>
        <v>0</v>
      </c>
    </row>
    <row r="27" spans="1:7" ht="12">
      <c r="A27" s="402"/>
      <c r="B27" s="496">
        <v>61</v>
      </c>
      <c r="C27" s="501" t="s">
        <v>16</v>
      </c>
      <c r="D27" s="496"/>
      <c r="E27" s="502"/>
      <c r="F27" s="502"/>
      <c r="G27" s="503"/>
    </row>
    <row r="28" spans="1:8" ht="12">
      <c r="A28" s="402" t="s">
        <v>129</v>
      </c>
      <c r="B28" s="504" t="s">
        <v>165</v>
      </c>
      <c r="C28" s="505" t="s">
        <v>1284</v>
      </c>
      <c r="D28" s="504" t="s">
        <v>93</v>
      </c>
      <c r="E28" s="506">
        <v>34.93</v>
      </c>
      <c r="F28" s="507">
        <v>0</v>
      </c>
      <c r="G28" s="406">
        <f>E28*F28</f>
        <v>0</v>
      </c>
      <c r="H28" s="146"/>
    </row>
    <row r="29" spans="1:8" ht="12">
      <c r="A29" s="402"/>
      <c r="B29" s="508"/>
      <c r="C29" s="505">
        <f>(1*1.4+0.7*1.4*3+0.8*1.4*2+1.2*1.5+2.1*1.5+1*2.2+0.6*0.9+0.9*1.4*2+0.9*0.75)*2</f>
        <v>34.93</v>
      </c>
      <c r="D29" s="504"/>
      <c r="E29" s="506"/>
      <c r="F29" s="507"/>
      <c r="G29" s="406"/>
      <c r="H29" s="146"/>
    </row>
    <row r="30" spans="1:8" ht="12">
      <c r="A30" s="402" t="s">
        <v>136</v>
      </c>
      <c r="B30" s="504" t="s">
        <v>176</v>
      </c>
      <c r="C30" s="505" t="s">
        <v>177</v>
      </c>
      <c r="D30" s="504" t="s">
        <v>93</v>
      </c>
      <c r="E30" s="507">
        <v>161.77</v>
      </c>
      <c r="F30" s="507">
        <v>0</v>
      </c>
      <c r="G30" s="406">
        <f>E30*F30</f>
        <v>0</v>
      </c>
      <c r="H30" s="146"/>
    </row>
    <row r="31" spans="1:7" ht="12">
      <c r="A31" s="402"/>
      <c r="B31" s="509" t="s">
        <v>261</v>
      </c>
      <c r="C31" s="510">
        <f>(2.28*1+1.42*1.4)</f>
        <v>4.268</v>
      </c>
      <c r="D31" s="504"/>
      <c r="E31" s="511"/>
      <c r="F31" s="507"/>
      <c r="G31" s="511"/>
    </row>
    <row r="32" spans="1:7" ht="12">
      <c r="A32" s="402"/>
      <c r="B32" s="509" t="s">
        <v>195</v>
      </c>
      <c r="C32" s="512">
        <f>(2.9*2.79)+(2.9*1.98)+(2.9*1.1)+(3.15*2.88)+(4.32*2.75)+(1.15*0.35)*3</f>
        <v>39.182500000000005</v>
      </c>
      <c r="D32" s="504"/>
      <c r="E32" s="511"/>
      <c r="F32" s="507"/>
      <c r="G32" s="511"/>
    </row>
    <row r="33" spans="1:7" ht="12">
      <c r="A33" s="402"/>
      <c r="B33" s="509" t="s">
        <v>128</v>
      </c>
      <c r="C33" s="512">
        <f>(4.58*4.37)+(3+1.9+1)*0.3</f>
        <v>21.7846</v>
      </c>
      <c r="D33" s="504"/>
      <c r="E33" s="511"/>
      <c r="F33" s="507"/>
      <c r="G33" s="511"/>
    </row>
    <row r="34" spans="1:7" ht="12">
      <c r="A34" s="402"/>
      <c r="B34" s="509" t="s">
        <v>1293</v>
      </c>
      <c r="C34" s="512">
        <f>(3.48*4.37)+(2.3+2.3+1.8)*0.35</f>
        <v>17.4476</v>
      </c>
      <c r="D34" s="504"/>
      <c r="E34" s="511"/>
      <c r="F34" s="507"/>
      <c r="G34" s="511"/>
    </row>
    <row r="35" spans="1:7" ht="12">
      <c r="A35" s="402"/>
      <c r="B35" s="509" t="s">
        <v>1294</v>
      </c>
      <c r="C35" s="512">
        <f>(4.955*1.41)+(6.35*4.245)+(2.1+1.2+1)*0.3+(1.15+1.15)*0.75</f>
        <v>36.9573</v>
      </c>
      <c r="D35" s="504"/>
      <c r="E35" s="511"/>
      <c r="F35" s="507"/>
      <c r="G35" s="511"/>
    </row>
    <row r="36" spans="1:7" ht="12">
      <c r="A36" s="402"/>
      <c r="B36" s="509" t="s">
        <v>1295</v>
      </c>
      <c r="C36" s="512">
        <f>(1.43*1.41)+(2.65*2.57)+(1.05+1.15)*0.75+(1*0.3)+(2.88*2.29)</f>
        <v>17.372</v>
      </c>
      <c r="D36" s="504"/>
      <c r="E36" s="511"/>
      <c r="F36" s="507"/>
      <c r="G36" s="511"/>
    </row>
    <row r="37" spans="1:7" ht="12">
      <c r="A37" s="402"/>
      <c r="B37" s="509" t="s">
        <v>1296</v>
      </c>
      <c r="C37" s="512">
        <f>(2.42*1.38)+(1.92*0.6)</f>
        <v>4.491599999999999</v>
      </c>
      <c r="D37" s="504"/>
      <c r="E37" s="511"/>
      <c r="F37" s="507"/>
      <c r="G37" s="511"/>
    </row>
    <row r="38" spans="1:7" ht="12">
      <c r="A38" s="402"/>
      <c r="B38" s="509" t="s">
        <v>1297</v>
      </c>
      <c r="C38" s="512">
        <f>(2.3*0.91)</f>
        <v>2.093</v>
      </c>
      <c r="D38" s="504"/>
      <c r="E38" s="511"/>
      <c r="F38" s="507"/>
      <c r="G38" s="511"/>
    </row>
    <row r="39" spans="1:7" ht="12">
      <c r="A39" s="402"/>
      <c r="B39" s="509" t="s">
        <v>1298</v>
      </c>
      <c r="C39" s="512">
        <f>(0.91*2.3)</f>
        <v>2.093</v>
      </c>
      <c r="D39" s="504"/>
      <c r="E39" s="511"/>
      <c r="F39" s="507"/>
      <c r="G39" s="511"/>
    </row>
    <row r="40" spans="1:7" ht="12">
      <c r="A40" s="402"/>
      <c r="B40" s="509" t="s">
        <v>1299</v>
      </c>
      <c r="C40" s="512">
        <f>(2.4*2.57)</f>
        <v>6.167999999999999</v>
      </c>
      <c r="D40" s="504"/>
      <c r="E40" s="511"/>
      <c r="F40" s="507"/>
      <c r="G40" s="511"/>
    </row>
    <row r="41" spans="1:7" ht="12">
      <c r="A41" s="402"/>
      <c r="B41" s="509" t="s">
        <v>1300</v>
      </c>
      <c r="C41" s="512">
        <f>(1.1*2.57)</f>
        <v>2.827</v>
      </c>
      <c r="D41" s="504"/>
      <c r="E41" s="511"/>
      <c r="F41" s="507"/>
      <c r="G41" s="511"/>
    </row>
    <row r="42" spans="1:7" ht="12">
      <c r="A42" s="402"/>
      <c r="B42" s="509" t="s">
        <v>1301</v>
      </c>
      <c r="C42" s="512">
        <f>(1.3*1.35)+(3.05*1.75)</f>
        <v>7.092499999999999</v>
      </c>
      <c r="D42" s="504"/>
      <c r="E42" s="511"/>
      <c r="F42" s="507"/>
      <c r="G42" s="511"/>
    </row>
    <row r="43" spans="1:7" ht="12">
      <c r="A43" s="402"/>
      <c r="B43" s="513"/>
      <c r="C43" s="512">
        <f>SUM(C31:C42)</f>
        <v>161.7771</v>
      </c>
      <c r="D43" s="504"/>
      <c r="E43" s="511"/>
      <c r="F43" s="507"/>
      <c r="G43" s="511"/>
    </row>
    <row r="44" spans="1:7" ht="12">
      <c r="A44" s="402" t="s">
        <v>139</v>
      </c>
      <c r="B44" s="403" t="s">
        <v>180</v>
      </c>
      <c r="C44" s="404" t="s">
        <v>181</v>
      </c>
      <c r="D44" s="403" t="s">
        <v>83</v>
      </c>
      <c r="E44" s="405">
        <v>25</v>
      </c>
      <c r="F44" s="405">
        <v>0</v>
      </c>
      <c r="G44" s="406">
        <f>E44*F44</f>
        <v>0</v>
      </c>
    </row>
    <row r="45" spans="1:7" ht="12">
      <c r="A45" s="402"/>
      <c r="B45" s="425"/>
      <c r="C45" s="404" t="s">
        <v>923</v>
      </c>
      <c r="D45" s="403"/>
      <c r="E45" s="405"/>
      <c r="F45" s="405"/>
      <c r="G45" s="406"/>
    </row>
    <row r="46" spans="1:7" ht="12">
      <c r="A46" s="402" t="s">
        <v>142</v>
      </c>
      <c r="B46" s="403" t="s">
        <v>185</v>
      </c>
      <c r="C46" s="404" t="s">
        <v>186</v>
      </c>
      <c r="D46" s="403" t="s">
        <v>83</v>
      </c>
      <c r="E46" s="405">
        <v>17</v>
      </c>
      <c r="F46" s="405">
        <v>0</v>
      </c>
      <c r="G46" s="406">
        <f>E46*F46</f>
        <v>0</v>
      </c>
    </row>
    <row r="47" spans="1:7" ht="12">
      <c r="A47" s="402"/>
      <c r="B47" s="425"/>
      <c r="C47" s="404" t="s">
        <v>1307</v>
      </c>
      <c r="D47" s="403"/>
      <c r="E47" s="405"/>
      <c r="F47" s="405"/>
      <c r="G47" s="406"/>
    </row>
    <row r="48" spans="1:7" ht="12">
      <c r="A48" s="402" t="s">
        <v>147</v>
      </c>
      <c r="B48" s="403" t="s">
        <v>189</v>
      </c>
      <c r="C48" s="404" t="s">
        <v>190</v>
      </c>
      <c r="D48" s="403" t="s">
        <v>93</v>
      </c>
      <c r="E48" s="405">
        <v>1.575</v>
      </c>
      <c r="F48" s="405">
        <v>0</v>
      </c>
      <c r="G48" s="406">
        <f>E48*F48</f>
        <v>0</v>
      </c>
    </row>
    <row r="49" spans="1:7" ht="12">
      <c r="A49" s="402"/>
      <c r="B49" s="509" t="s">
        <v>261</v>
      </c>
      <c r="C49" s="512">
        <f>0.9*0.25</f>
        <v>0.225</v>
      </c>
      <c r="D49" s="504"/>
      <c r="E49" s="511"/>
      <c r="F49" s="507"/>
      <c r="G49" s="511"/>
    </row>
    <row r="50" spans="1:7" ht="12">
      <c r="A50" s="402"/>
      <c r="B50" s="509" t="s">
        <v>1295</v>
      </c>
      <c r="C50" s="512">
        <f>1.2*0.25</f>
        <v>0.3</v>
      </c>
      <c r="D50" s="504"/>
      <c r="E50" s="511"/>
      <c r="F50" s="507"/>
      <c r="G50" s="511"/>
    </row>
    <row r="51" spans="1:7" ht="12">
      <c r="A51" s="402"/>
      <c r="B51" s="509" t="s">
        <v>1301</v>
      </c>
      <c r="C51" s="512">
        <f>(1.3*0.25)</f>
        <v>0.325</v>
      </c>
      <c r="D51" s="504"/>
      <c r="E51" s="511"/>
      <c r="F51" s="507"/>
      <c r="G51" s="511"/>
    </row>
    <row r="52" spans="1:7" ht="12">
      <c r="A52" s="402"/>
      <c r="B52" s="509" t="s">
        <v>195</v>
      </c>
      <c r="C52" s="512">
        <f>(2.9*0.25)</f>
        <v>0.725</v>
      </c>
      <c r="D52" s="504"/>
      <c r="E52" s="511"/>
      <c r="F52" s="507"/>
      <c r="G52" s="511"/>
    </row>
    <row r="53" spans="1:7" ht="12">
      <c r="A53" s="402"/>
      <c r="B53" s="425"/>
      <c r="C53" s="404">
        <f>SUM(C49:C52)</f>
        <v>1.5750000000000002</v>
      </c>
      <c r="D53" s="403"/>
      <c r="E53" s="405"/>
      <c r="F53" s="405"/>
      <c r="G53" s="406"/>
    </row>
    <row r="54" spans="1:7" ht="12">
      <c r="A54" s="402" t="s">
        <v>150</v>
      </c>
      <c r="B54" s="403" t="s">
        <v>193</v>
      </c>
      <c r="C54" s="404" t="s">
        <v>194</v>
      </c>
      <c r="D54" s="403" t="s">
        <v>93</v>
      </c>
      <c r="E54" s="405">
        <v>5.1</v>
      </c>
      <c r="F54" s="405">
        <v>0</v>
      </c>
      <c r="G54" s="406">
        <f>E54*F54</f>
        <v>0</v>
      </c>
    </row>
    <row r="55" spans="1:7" ht="12">
      <c r="A55" s="402"/>
      <c r="B55" s="509" t="s">
        <v>261</v>
      </c>
      <c r="C55" s="512">
        <f>2.91*2*0.25</f>
        <v>1.455</v>
      </c>
      <c r="D55" s="504"/>
      <c r="E55" s="511"/>
      <c r="F55" s="507"/>
      <c r="G55" s="511"/>
    </row>
    <row r="56" spans="1:7" ht="12">
      <c r="A56" s="402"/>
      <c r="B56" s="509" t="s">
        <v>1295</v>
      </c>
      <c r="C56" s="512">
        <f>2.91*0.25</f>
        <v>0.7275</v>
      </c>
      <c r="D56" s="504"/>
      <c r="E56" s="511"/>
      <c r="F56" s="507"/>
      <c r="G56" s="511"/>
    </row>
    <row r="57" spans="1:7" ht="12">
      <c r="A57" s="402"/>
      <c r="B57" s="509" t="s">
        <v>1301</v>
      </c>
      <c r="C57" s="512">
        <f>2.91*2*0.25</f>
        <v>1.455</v>
      </c>
      <c r="D57" s="504"/>
      <c r="E57" s="511"/>
      <c r="F57" s="507"/>
      <c r="G57" s="511"/>
    </row>
    <row r="58" spans="1:7" ht="12">
      <c r="A58" s="402"/>
      <c r="B58" s="509" t="s">
        <v>195</v>
      </c>
      <c r="C58" s="512">
        <f>(2.91*2*0.25)</f>
        <v>1.455</v>
      </c>
      <c r="D58" s="504"/>
      <c r="E58" s="511"/>
      <c r="F58" s="507"/>
      <c r="G58" s="511"/>
    </row>
    <row r="59" spans="1:7" ht="12">
      <c r="A59" s="402"/>
      <c r="B59" s="425"/>
      <c r="C59" s="404">
        <f>SUM(C55:C58)</f>
        <v>5.0925</v>
      </c>
      <c r="D59" s="403"/>
      <c r="E59" s="405"/>
      <c r="F59" s="405"/>
      <c r="G59" s="406"/>
    </row>
    <row r="60" spans="1:8" ht="12">
      <c r="A60" s="402" t="s">
        <v>154</v>
      </c>
      <c r="B60" s="403" t="s">
        <v>205</v>
      </c>
      <c r="C60" s="404" t="s">
        <v>210</v>
      </c>
      <c r="D60" s="403" t="s">
        <v>93</v>
      </c>
      <c r="E60" s="405">
        <v>361.58</v>
      </c>
      <c r="F60" s="405">
        <v>0</v>
      </c>
      <c r="G60" s="406">
        <f>PRODUCT(E60*F60)</f>
        <v>0</v>
      </c>
      <c r="H60" s="151"/>
    </row>
    <row r="61" spans="1:9" s="159" customFormat="1" ht="12">
      <c r="A61" s="514"/>
      <c r="B61" s="515" t="s">
        <v>261</v>
      </c>
      <c r="C61" s="516">
        <f>((2.42+2.28)*2*1)</f>
        <v>9.399999999999999</v>
      </c>
      <c r="D61" s="514"/>
      <c r="E61" s="517"/>
      <c r="F61" s="506"/>
      <c r="G61" s="518"/>
      <c r="H61" s="196"/>
      <c r="I61" s="158"/>
    </row>
    <row r="62" spans="1:9" s="159" customFormat="1" ht="12">
      <c r="A62" s="514"/>
      <c r="B62" s="519" t="s">
        <v>195</v>
      </c>
      <c r="C62" s="510">
        <f>((2.79+2.9)*2+(1.95+2.9)*2+(1.1+2.9)*2+(3.15+2.88)*2+(4.32+2.75)*2+(1.1*2+0.8*2))*2.91</f>
        <v>171.9228</v>
      </c>
      <c r="D62" s="514"/>
      <c r="E62" s="517"/>
      <c r="F62" s="506"/>
      <c r="G62" s="518"/>
      <c r="H62" s="196"/>
      <c r="I62" s="158"/>
    </row>
    <row r="63" spans="1:9" s="159" customFormat="1" ht="12">
      <c r="A63" s="514"/>
      <c r="B63" s="500" t="s">
        <v>128</v>
      </c>
      <c r="C63" s="415">
        <f>(4.58+4.37)*2*2.91</f>
        <v>52.089</v>
      </c>
      <c r="D63" s="514"/>
      <c r="E63" s="517"/>
      <c r="F63" s="506"/>
      <c r="G63" s="518"/>
      <c r="H63" s="196"/>
      <c r="I63" s="158"/>
    </row>
    <row r="64" spans="1:9" s="159" customFormat="1" ht="12">
      <c r="A64" s="514"/>
      <c r="B64" s="515" t="s">
        <v>1293</v>
      </c>
      <c r="C64" s="516">
        <f>(1.42+0.6+0.18+0.35+0.25+0.9+1.42)*1+(2.8+3.48+2.8)*2.91</f>
        <v>31.542799999999996</v>
      </c>
      <c r="D64" s="514"/>
      <c r="E64" s="517"/>
      <c r="F64" s="506"/>
      <c r="G64" s="518"/>
      <c r="H64" s="196"/>
      <c r="I64" s="158"/>
    </row>
    <row r="65" spans="1:9" s="159" customFormat="1" ht="12">
      <c r="A65" s="514"/>
      <c r="B65" s="515" t="s">
        <v>1294</v>
      </c>
      <c r="C65" s="516">
        <f>(6.35+4.245)*2*1</f>
        <v>21.189999999999998</v>
      </c>
      <c r="D65" s="514"/>
      <c r="E65" s="517"/>
      <c r="F65" s="506"/>
      <c r="G65" s="518"/>
      <c r="H65" s="196"/>
      <c r="I65" s="158"/>
    </row>
    <row r="66" spans="1:9" s="159" customFormat="1" ht="12">
      <c r="A66" s="514"/>
      <c r="B66" s="515"/>
      <c r="C66" s="516">
        <f>(4.955+1.41)*2*1</f>
        <v>12.73</v>
      </c>
      <c r="D66" s="514"/>
      <c r="E66" s="517"/>
      <c r="F66" s="506"/>
      <c r="G66" s="518"/>
      <c r="H66" s="196"/>
      <c r="I66" s="158"/>
    </row>
    <row r="67" spans="1:9" s="159" customFormat="1" ht="12">
      <c r="A67" s="514"/>
      <c r="B67" s="515" t="s">
        <v>1295</v>
      </c>
      <c r="C67" s="516">
        <f>(1.43+1.41)*2*1</f>
        <v>5.68</v>
      </c>
      <c r="D67" s="514"/>
      <c r="E67" s="517"/>
      <c r="F67" s="506"/>
      <c r="G67" s="518"/>
      <c r="H67" s="196"/>
      <c r="I67" s="158"/>
    </row>
    <row r="68" spans="1:9" s="159" customFormat="1" ht="12">
      <c r="A68" s="514"/>
      <c r="B68" s="515"/>
      <c r="C68" s="516">
        <f>(2.45+2.75)*2*1</f>
        <v>10.4</v>
      </c>
      <c r="D68" s="514"/>
      <c r="E68" s="517"/>
      <c r="F68" s="506"/>
      <c r="G68" s="518"/>
      <c r="H68" s="196"/>
      <c r="I68" s="158"/>
    </row>
    <row r="69" spans="1:9" s="159" customFormat="1" ht="12">
      <c r="A69" s="514"/>
      <c r="B69" s="515"/>
      <c r="C69" s="516">
        <f>(2.88+2.29)*2*1</f>
        <v>10.34</v>
      </c>
      <c r="D69" s="514"/>
      <c r="E69" s="517"/>
      <c r="F69" s="506"/>
      <c r="G69" s="518"/>
      <c r="H69" s="196"/>
      <c r="I69" s="158"/>
    </row>
    <row r="70" spans="1:9" s="159" customFormat="1" ht="12">
      <c r="A70" s="514"/>
      <c r="B70" s="515" t="s">
        <v>1306</v>
      </c>
      <c r="C70" s="516">
        <f>(2.43+4.38)*2*1</f>
        <v>13.620000000000001</v>
      </c>
      <c r="D70" s="514"/>
      <c r="E70" s="517"/>
      <c r="F70" s="506"/>
      <c r="G70" s="518"/>
      <c r="H70" s="196"/>
      <c r="I70" s="158"/>
    </row>
    <row r="71" spans="1:9" s="159" customFormat="1" ht="12">
      <c r="A71" s="514"/>
      <c r="B71" s="515" t="s">
        <v>1316</v>
      </c>
      <c r="C71" s="516">
        <f>(3.9+2.57+3.9)*1</f>
        <v>10.37</v>
      </c>
      <c r="D71" s="514"/>
      <c r="E71" s="517"/>
      <c r="F71" s="506"/>
      <c r="G71" s="518"/>
      <c r="H71" s="196"/>
      <c r="I71" s="158"/>
    </row>
    <row r="72" spans="1:9" s="159" customFormat="1" ht="12">
      <c r="A72" s="514"/>
      <c r="B72" s="515" t="s">
        <v>1301</v>
      </c>
      <c r="C72" s="516">
        <f>(3.1+3.05)*2*1</f>
        <v>12.3</v>
      </c>
      <c r="D72" s="514"/>
      <c r="E72" s="517"/>
      <c r="F72" s="506"/>
      <c r="G72" s="518"/>
      <c r="H72" s="196"/>
      <c r="I72" s="158"/>
    </row>
    <row r="73" spans="1:9" ht="12">
      <c r="A73" s="402"/>
      <c r="B73" s="425"/>
      <c r="C73" s="520">
        <f>SUM(C61:C72)</f>
        <v>361.58459999999997</v>
      </c>
      <c r="D73" s="403"/>
      <c r="E73" s="405"/>
      <c r="F73" s="405"/>
      <c r="G73" s="406"/>
      <c r="I73" s="158"/>
    </row>
    <row r="74" spans="1:9" s="159" customFormat="1" ht="12">
      <c r="A74" s="514" t="s">
        <v>161</v>
      </c>
      <c r="B74" s="521" t="s">
        <v>229</v>
      </c>
      <c r="C74" s="522" t="s">
        <v>230</v>
      </c>
      <c r="D74" s="521" t="s">
        <v>93</v>
      </c>
      <c r="E74" s="523">
        <v>186.74</v>
      </c>
      <c r="F74" s="523">
        <v>0</v>
      </c>
      <c r="G74" s="524">
        <f>PRODUCT(E74*F74)</f>
        <v>0</v>
      </c>
      <c r="H74" s="158"/>
      <c r="I74" s="158"/>
    </row>
    <row r="75" spans="1:9" s="159" customFormat="1" ht="12">
      <c r="A75" s="514"/>
      <c r="B75" s="521"/>
      <c r="C75" s="522" t="s">
        <v>231</v>
      </c>
      <c r="D75" s="521"/>
      <c r="E75" s="523"/>
      <c r="F75" s="523"/>
      <c r="G75" s="524"/>
      <c r="H75" s="158"/>
      <c r="I75" s="158"/>
    </row>
    <row r="76" spans="1:9" s="159" customFormat="1" ht="12">
      <c r="A76" s="514"/>
      <c r="B76" s="515" t="s">
        <v>261</v>
      </c>
      <c r="C76" s="516">
        <f>(2.42+2.28)*2*2.1-(0.7*1.97)</f>
        <v>18.360999999999997</v>
      </c>
      <c r="D76" s="514"/>
      <c r="E76" s="517"/>
      <c r="F76" s="506"/>
      <c r="G76" s="518"/>
      <c r="H76" s="196"/>
      <c r="I76" s="158"/>
    </row>
    <row r="77" spans="1:9" s="159" customFormat="1" ht="12">
      <c r="A77" s="514"/>
      <c r="B77" s="515" t="s">
        <v>1293</v>
      </c>
      <c r="C77" s="516">
        <f>(1.42+0.6+0.18+0.35+0.25+0.9+1.42)*2.1-(1.8*2)</f>
        <v>7.152000000000001</v>
      </c>
      <c r="D77" s="514"/>
      <c r="E77" s="517"/>
      <c r="F77" s="506"/>
      <c r="G77" s="518"/>
      <c r="H77" s="196"/>
      <c r="I77" s="158"/>
    </row>
    <row r="78" spans="1:9" s="159" customFormat="1" ht="12">
      <c r="A78" s="514"/>
      <c r="B78" s="515" t="s">
        <v>1294</v>
      </c>
      <c r="C78" s="516">
        <f>(6.35+4.245)*2*2.1-(1.8*2.1+1.15*2.75*2+0.8*1.97*2)+(1+2.1+2.1)*0.35</f>
        <v>33.06199999999999</v>
      </c>
      <c r="D78" s="514"/>
      <c r="E78" s="517"/>
      <c r="F78" s="506"/>
      <c r="G78" s="518"/>
      <c r="H78" s="196"/>
      <c r="I78" s="158"/>
    </row>
    <row r="79" spans="1:9" s="159" customFormat="1" ht="12">
      <c r="A79" s="514"/>
      <c r="B79" s="515"/>
      <c r="C79" s="516">
        <f>(4.955+1.41)*2*2.1-(1.15*2.75)*2-(1.2*1.5+2.1*1.5)+(1.15+2.75*2)*2*0.75</f>
        <v>25.433000000000003</v>
      </c>
      <c r="D79" s="514"/>
      <c r="E79" s="517"/>
      <c r="F79" s="506"/>
      <c r="G79" s="518"/>
      <c r="H79" s="196"/>
      <c r="I79" s="158"/>
    </row>
    <row r="80" spans="1:9" s="159" customFormat="1" ht="12">
      <c r="A80" s="514"/>
      <c r="B80" s="515"/>
      <c r="C80" s="516">
        <f>(1.2+1.5*2)*0.35+(2.1+1.5*2)*0.35</f>
        <v>3.255</v>
      </c>
      <c r="D80" s="514"/>
      <c r="E80" s="517"/>
      <c r="F80" s="506"/>
      <c r="G80" s="518"/>
      <c r="H80" s="196"/>
      <c r="I80" s="158"/>
    </row>
    <row r="81" spans="1:9" s="159" customFormat="1" ht="12">
      <c r="A81" s="514"/>
      <c r="B81" s="515" t="s">
        <v>1295</v>
      </c>
      <c r="C81" s="516">
        <f>(1.43+1.41)*2*2.1-(1*2.2+1.15*2.1)+(1+2.2*2)*0.4+(1.15+2.1*2)*0.75</f>
        <v>13.485499999999998</v>
      </c>
      <c r="D81" s="514"/>
      <c r="E81" s="517"/>
      <c r="F81" s="506"/>
      <c r="G81" s="518"/>
      <c r="H81" s="196"/>
      <c r="I81" s="158"/>
    </row>
    <row r="82" spans="1:9" s="159" customFormat="1" ht="12">
      <c r="A82" s="514"/>
      <c r="B82" s="515"/>
      <c r="C82" s="516">
        <f>(2.45+2.75)*2*2.1-(1.15*2.1)*3-(0.8*1.97)+(1+2.1*2)*0.35</f>
        <v>14.839000000000002</v>
      </c>
      <c r="D82" s="514"/>
      <c r="E82" s="517"/>
      <c r="F82" s="506"/>
      <c r="G82" s="518"/>
      <c r="H82" s="196"/>
      <c r="I82" s="158"/>
    </row>
    <row r="83" spans="1:9" s="159" customFormat="1" ht="12">
      <c r="A83" s="514"/>
      <c r="B83" s="515"/>
      <c r="C83" s="516">
        <f>(2.88+2.29)*2*2.1-(0.8*1.97)*5+(1.15+2.1*2)*0.35</f>
        <v>15.706500000000002</v>
      </c>
      <c r="D83" s="514"/>
      <c r="E83" s="517"/>
      <c r="F83" s="506"/>
      <c r="G83" s="518"/>
      <c r="H83" s="196"/>
      <c r="I83" s="158"/>
    </row>
    <row r="84" spans="1:9" s="159" customFormat="1" ht="12">
      <c r="A84" s="514"/>
      <c r="B84" s="515" t="s">
        <v>1306</v>
      </c>
      <c r="C84" s="516">
        <f>(2.4+1.92+2.4)*2.1-(0.9*1.4)+(0.9+1.4*2)*0.35</f>
        <v>14.147000000000002</v>
      </c>
      <c r="D84" s="514"/>
      <c r="E84" s="517"/>
      <c r="F84" s="506"/>
      <c r="G84" s="518"/>
      <c r="H84" s="196"/>
      <c r="I84" s="158"/>
    </row>
    <row r="85" spans="1:9" s="159" customFormat="1" ht="12">
      <c r="A85" s="514"/>
      <c r="B85" s="515" t="s">
        <v>1302</v>
      </c>
      <c r="C85" s="516">
        <f>(3.9+2.57+3.9)*2.1-(0.8*1.97)</f>
        <v>20.201</v>
      </c>
      <c r="D85" s="514"/>
      <c r="E85" s="517"/>
      <c r="F85" s="506"/>
      <c r="G85" s="518"/>
      <c r="H85" s="196"/>
      <c r="I85" s="158"/>
    </row>
    <row r="86" spans="1:9" s="159" customFormat="1" ht="12">
      <c r="A86" s="514"/>
      <c r="B86" s="515" t="s">
        <v>1301</v>
      </c>
      <c r="C86" s="516">
        <f>(3.1+3.05)*2*2.1-(0.8*1.97*3)</f>
        <v>21.102000000000004</v>
      </c>
      <c r="D86" s="514"/>
      <c r="E86" s="517"/>
      <c r="F86" s="506"/>
      <c r="G86" s="518"/>
      <c r="H86" s="196"/>
      <c r="I86" s="158"/>
    </row>
    <row r="87" spans="1:9" s="159" customFormat="1" ht="12">
      <c r="A87" s="514"/>
      <c r="B87" s="515"/>
      <c r="C87" s="516">
        <f>SUM(C76:C86)</f>
        <v>186.74399999999997</v>
      </c>
      <c r="D87" s="514"/>
      <c r="E87" s="517"/>
      <c r="F87" s="506"/>
      <c r="G87" s="518"/>
      <c r="H87" s="196"/>
      <c r="I87" s="158"/>
    </row>
    <row r="88" spans="1:9" s="159" customFormat="1" ht="12">
      <c r="A88" s="514" t="s">
        <v>164</v>
      </c>
      <c r="B88" s="521" t="s">
        <v>235</v>
      </c>
      <c r="C88" s="522" t="s">
        <v>236</v>
      </c>
      <c r="D88" s="521" t="s">
        <v>93</v>
      </c>
      <c r="E88" s="523">
        <v>70.78</v>
      </c>
      <c r="F88" s="523">
        <v>0</v>
      </c>
      <c r="G88" s="524">
        <f>PRODUCT(E88*F88)</f>
        <v>0</v>
      </c>
      <c r="H88" s="158"/>
      <c r="I88" s="158"/>
    </row>
    <row r="89" spans="1:9" s="159" customFormat="1" ht="12">
      <c r="A89" s="514"/>
      <c r="B89" s="525"/>
      <c r="C89" s="516" t="s">
        <v>237</v>
      </c>
      <c r="D89" s="514"/>
      <c r="E89" s="517"/>
      <c r="F89" s="506"/>
      <c r="G89" s="518"/>
      <c r="H89" s="158"/>
      <c r="I89" s="158"/>
    </row>
    <row r="90" spans="1:9" s="159" customFormat="1" ht="12">
      <c r="A90" s="514"/>
      <c r="B90" s="526" t="s">
        <v>261</v>
      </c>
      <c r="C90" s="527">
        <f>(1.4*2.91)*2-(1.4*1.5*2)+(1*2.1)*2</f>
        <v>8.148</v>
      </c>
      <c r="D90" s="521"/>
      <c r="E90" s="523"/>
      <c r="F90" s="523"/>
      <c r="G90" s="524"/>
      <c r="H90" s="158"/>
      <c r="I90" s="158"/>
    </row>
    <row r="91" spans="1:9" s="159" customFormat="1" ht="12">
      <c r="A91" s="514"/>
      <c r="B91" s="526" t="s">
        <v>1293</v>
      </c>
      <c r="C91" s="527">
        <f>(2.3*2.1-0.8*1.97)*2+(2.3*2.1)*2+(1.8*2.1-0.8*1.97)*2</f>
        <v>20.576</v>
      </c>
      <c r="D91" s="521"/>
      <c r="E91" s="523"/>
      <c r="F91" s="523"/>
      <c r="G91" s="524"/>
      <c r="H91" s="158"/>
      <c r="I91" s="158"/>
    </row>
    <row r="92" spans="1:9" s="159" customFormat="1" ht="12">
      <c r="A92" s="514"/>
      <c r="B92" s="526" t="s">
        <v>1297</v>
      </c>
      <c r="C92" s="527">
        <f>(2.3*2.91-2.3*1.5)*2+(1.92*2.91*2-0.7*1.97*4)</f>
        <v>12.144400000000001</v>
      </c>
      <c r="D92" s="521"/>
      <c r="E92" s="523"/>
      <c r="F92" s="523"/>
      <c r="G92" s="524"/>
      <c r="H92" s="158"/>
      <c r="I92" s="158"/>
    </row>
    <row r="93" spans="1:9" s="159" customFormat="1" ht="12">
      <c r="A93" s="514"/>
      <c r="B93" s="526" t="s">
        <v>1299</v>
      </c>
      <c r="C93" s="527">
        <f>(2.57*2.91-0.8*1.97)*2*2+(1.5*2.1)*2</f>
        <v>29.9108</v>
      </c>
      <c r="D93" s="521"/>
      <c r="E93" s="523"/>
      <c r="F93" s="523"/>
      <c r="G93" s="524"/>
      <c r="H93" s="158"/>
      <c r="I93" s="158"/>
    </row>
    <row r="94" spans="1:7" ht="12">
      <c r="A94" s="402"/>
      <c r="B94" s="425"/>
      <c r="C94" s="520">
        <f>SUM(C90:C93)</f>
        <v>70.7792</v>
      </c>
      <c r="D94" s="403"/>
      <c r="E94" s="405"/>
      <c r="F94" s="405"/>
      <c r="G94" s="406"/>
    </row>
    <row r="95" spans="1:7" ht="12">
      <c r="A95" s="402" t="s">
        <v>172</v>
      </c>
      <c r="B95" s="403" t="s">
        <v>235</v>
      </c>
      <c r="C95" s="404" t="s">
        <v>241</v>
      </c>
      <c r="D95" s="403" t="s">
        <v>93</v>
      </c>
      <c r="E95" s="405">
        <v>46.74</v>
      </c>
      <c r="F95" s="405">
        <v>0</v>
      </c>
      <c r="G95" s="406">
        <f>PRODUCT(E95*F95)</f>
        <v>0</v>
      </c>
    </row>
    <row r="96" spans="1:7" ht="12">
      <c r="A96" s="402"/>
      <c r="B96" s="500" t="s">
        <v>261</v>
      </c>
      <c r="C96" s="404">
        <f>(2.18+1)*2*1.5-(0.7*1.5)</f>
        <v>8.490000000000002</v>
      </c>
      <c r="D96" s="403"/>
      <c r="E96" s="405"/>
      <c r="F96" s="405"/>
      <c r="G96" s="406"/>
    </row>
    <row r="97" spans="1:7" ht="12">
      <c r="A97" s="402"/>
      <c r="B97" s="500"/>
      <c r="C97" s="404">
        <f>(1.4+1.33)*2*1.5-0.7*1.5</f>
        <v>7.14</v>
      </c>
      <c r="D97" s="403"/>
      <c r="E97" s="405"/>
      <c r="F97" s="405"/>
      <c r="G97" s="406"/>
    </row>
    <row r="98" spans="1:7" ht="12">
      <c r="A98" s="402"/>
      <c r="B98" s="500" t="s">
        <v>1296</v>
      </c>
      <c r="C98" s="520">
        <f>(2.43+2)*2*1.5-0.7*1.5*3</f>
        <v>10.14</v>
      </c>
      <c r="D98" s="403"/>
      <c r="E98" s="405"/>
      <c r="F98" s="405"/>
      <c r="G98" s="406"/>
    </row>
    <row r="99" spans="1:7" ht="12">
      <c r="A99" s="402"/>
      <c r="B99" s="500" t="s">
        <v>1297</v>
      </c>
      <c r="C99" s="520">
        <f>(0.91+2.3)*2*1.5-0.7*1.5</f>
        <v>8.579999999999998</v>
      </c>
      <c r="D99" s="403"/>
      <c r="E99" s="405"/>
      <c r="F99" s="405"/>
      <c r="G99" s="406"/>
    </row>
    <row r="100" spans="1:7" ht="12">
      <c r="A100" s="402"/>
      <c r="B100" s="500" t="s">
        <v>1298</v>
      </c>
      <c r="C100" s="520">
        <f>(0.91+2.3)*2*1.5-0.7*1.5</f>
        <v>8.579999999999998</v>
      </c>
      <c r="D100" s="403"/>
      <c r="E100" s="405"/>
      <c r="F100" s="405"/>
      <c r="G100" s="406"/>
    </row>
    <row r="101" spans="1:7" ht="12">
      <c r="A101" s="402"/>
      <c r="B101" s="500" t="s">
        <v>1299</v>
      </c>
      <c r="C101" s="520">
        <f>(0.6+2.4+0.6)*0.6</f>
        <v>2.16</v>
      </c>
      <c r="D101" s="403"/>
      <c r="E101" s="405"/>
      <c r="F101" s="405"/>
      <c r="G101" s="406"/>
    </row>
    <row r="102" spans="1:7" ht="12">
      <c r="A102" s="402"/>
      <c r="B102" s="500" t="s">
        <v>1300</v>
      </c>
      <c r="C102" s="520">
        <f>(1.1*1.5)</f>
        <v>1.6500000000000001</v>
      </c>
      <c r="D102" s="403"/>
      <c r="E102" s="405"/>
      <c r="F102" s="405"/>
      <c r="G102" s="406"/>
    </row>
    <row r="103" spans="1:7" ht="12">
      <c r="A103" s="402"/>
      <c r="B103" s="425"/>
      <c r="C103" s="404">
        <f>SUM(C96:C102)</f>
        <v>46.74</v>
      </c>
      <c r="D103" s="403"/>
      <c r="E103" s="405"/>
      <c r="F103" s="405"/>
      <c r="G103" s="406"/>
    </row>
    <row r="104" spans="1:8" ht="12">
      <c r="A104" s="402" t="s">
        <v>175</v>
      </c>
      <c r="B104" s="403" t="s">
        <v>244</v>
      </c>
      <c r="C104" s="404" t="s">
        <v>245</v>
      </c>
      <c r="D104" s="403" t="s">
        <v>157</v>
      </c>
      <c r="E104" s="405">
        <v>56.88</v>
      </c>
      <c r="F104" s="405">
        <v>0</v>
      </c>
      <c r="G104" s="406">
        <f>PRODUCT(E104*F104)</f>
        <v>0</v>
      </c>
      <c r="H104" s="191"/>
    </row>
    <row r="105" spans="1:8" ht="12">
      <c r="A105" s="402"/>
      <c r="B105" s="403"/>
      <c r="C105" s="415">
        <f>(0.8+1.97+1.97)*12</f>
        <v>56.88</v>
      </c>
      <c r="D105" s="403"/>
      <c r="E105" s="405"/>
      <c r="F105" s="405"/>
      <c r="G105" s="406"/>
      <c r="H105" s="191"/>
    </row>
    <row r="106" spans="1:9" s="159" customFormat="1" ht="12">
      <c r="A106" s="514" t="s">
        <v>179</v>
      </c>
      <c r="B106" s="514" t="s">
        <v>247</v>
      </c>
      <c r="C106" s="516" t="s">
        <v>248</v>
      </c>
      <c r="D106" s="514" t="s">
        <v>93</v>
      </c>
      <c r="E106" s="517">
        <v>161.77</v>
      </c>
      <c r="F106" s="506">
        <v>0</v>
      </c>
      <c r="G106" s="518">
        <f>E106*F106</f>
        <v>0</v>
      </c>
      <c r="H106" s="196"/>
      <c r="I106" s="107"/>
    </row>
    <row r="107" spans="1:9" s="159" customFormat="1" ht="12">
      <c r="A107" s="514" t="s">
        <v>184</v>
      </c>
      <c r="B107" s="514" t="s">
        <v>250</v>
      </c>
      <c r="C107" s="516" t="s">
        <v>251</v>
      </c>
      <c r="D107" s="514" t="s">
        <v>93</v>
      </c>
      <c r="E107" s="517">
        <v>361.58</v>
      </c>
      <c r="F107" s="506">
        <v>0</v>
      </c>
      <c r="G107" s="518">
        <f>E107*F107</f>
        <v>0</v>
      </c>
      <c r="H107" s="196"/>
      <c r="I107" s="107"/>
    </row>
    <row r="108" spans="1:8" ht="12">
      <c r="A108" s="402" t="s">
        <v>188</v>
      </c>
      <c r="B108" s="402" t="s">
        <v>284</v>
      </c>
      <c r="C108" s="415" t="s">
        <v>285</v>
      </c>
      <c r="D108" s="402" t="s">
        <v>93</v>
      </c>
      <c r="E108" s="528">
        <v>70.78</v>
      </c>
      <c r="F108" s="507">
        <v>0</v>
      </c>
      <c r="G108" s="511">
        <f>E108*F108</f>
        <v>0</v>
      </c>
      <c r="H108" s="151"/>
    </row>
    <row r="109" spans="1:9" s="159" customFormat="1" ht="12">
      <c r="A109" s="514"/>
      <c r="B109" s="526" t="s">
        <v>261</v>
      </c>
      <c r="C109" s="527">
        <f>(1.4*2.91)*2-(1.4*1.5*2)+(1*2.1)*2</f>
        <v>8.148</v>
      </c>
      <c r="D109" s="521"/>
      <c r="E109" s="523"/>
      <c r="F109" s="523"/>
      <c r="G109" s="524"/>
      <c r="H109" s="158"/>
      <c r="I109" s="158"/>
    </row>
    <row r="110" spans="1:9" s="159" customFormat="1" ht="12">
      <c r="A110" s="514"/>
      <c r="B110" s="526" t="s">
        <v>1293</v>
      </c>
      <c r="C110" s="527">
        <f>(2.3*2.1-0.8*1.97)*2+(2.3*2.1)*2+(1.8*2.1-0.8*1.97)*2</f>
        <v>20.576</v>
      </c>
      <c r="D110" s="521"/>
      <c r="E110" s="523"/>
      <c r="F110" s="523"/>
      <c r="G110" s="524"/>
      <c r="H110" s="158"/>
      <c r="I110" s="158"/>
    </row>
    <row r="111" spans="1:9" s="159" customFormat="1" ht="12">
      <c r="A111" s="514"/>
      <c r="B111" s="526" t="s">
        <v>1297</v>
      </c>
      <c r="C111" s="527">
        <f>(2.3*2.91-2.3*1.5)*2+(1.92*2.91*2-0.7*1.97*4)</f>
        <v>12.144400000000001</v>
      </c>
      <c r="D111" s="521"/>
      <c r="E111" s="523"/>
      <c r="F111" s="523"/>
      <c r="G111" s="524"/>
      <c r="H111" s="158"/>
      <c r="I111" s="158"/>
    </row>
    <row r="112" spans="1:9" s="159" customFormat="1" ht="12">
      <c r="A112" s="514"/>
      <c r="B112" s="526" t="s">
        <v>1299</v>
      </c>
      <c r="C112" s="527">
        <f>(2.57*2.91-0.8*1.97)*2*2+(1.5*2.1)*2</f>
        <v>29.9108</v>
      </c>
      <c r="D112" s="521"/>
      <c r="E112" s="523"/>
      <c r="F112" s="523"/>
      <c r="G112" s="524"/>
      <c r="H112" s="158"/>
      <c r="I112" s="158"/>
    </row>
    <row r="113" spans="1:7" ht="12">
      <c r="A113" s="402"/>
      <c r="B113" s="425"/>
      <c r="C113" s="520">
        <f>SUM(C109:C112)</f>
        <v>70.7792</v>
      </c>
      <c r="D113" s="403"/>
      <c r="E113" s="405"/>
      <c r="F113" s="405"/>
      <c r="G113" s="406"/>
    </row>
    <row r="114" spans="1:7" ht="12.75" thickBot="1">
      <c r="A114" s="584"/>
      <c r="B114" s="591"/>
      <c r="C114" s="586"/>
      <c r="D114" s="584"/>
      <c r="E114" s="587"/>
      <c r="F114" s="587"/>
      <c r="G114" s="588"/>
    </row>
    <row r="115" spans="1:7" ht="12.75" thickTop="1">
      <c r="A115" s="579"/>
      <c r="B115" s="589"/>
      <c r="C115" s="581" t="s">
        <v>160</v>
      </c>
      <c r="D115" s="589"/>
      <c r="E115" s="590"/>
      <c r="F115" s="590"/>
      <c r="G115" s="583">
        <f>SUM(G27:G114)</f>
        <v>0</v>
      </c>
    </row>
    <row r="116" spans="1:7" ht="12">
      <c r="A116" s="402"/>
      <c r="B116" s="496">
        <v>63</v>
      </c>
      <c r="C116" s="501" t="s">
        <v>18</v>
      </c>
      <c r="D116" s="496"/>
      <c r="E116" s="502"/>
      <c r="F116" s="502"/>
      <c r="G116" s="503"/>
    </row>
    <row r="117" spans="1:7" ht="12">
      <c r="A117" s="402" t="s">
        <v>192</v>
      </c>
      <c r="B117" s="529" t="s">
        <v>300</v>
      </c>
      <c r="C117" s="404" t="s">
        <v>301</v>
      </c>
      <c r="D117" s="403" t="s">
        <v>302</v>
      </c>
      <c r="E117" s="405">
        <v>0.19</v>
      </c>
      <c r="F117" s="405">
        <v>0</v>
      </c>
      <c r="G117" s="406">
        <f>E117*F117</f>
        <v>0</v>
      </c>
    </row>
    <row r="118" spans="1:7" ht="12">
      <c r="A118" s="402"/>
      <c r="B118" s="509" t="s">
        <v>261</v>
      </c>
      <c r="C118" s="512">
        <f>0.9</f>
        <v>0.9</v>
      </c>
      <c r="D118" s="504"/>
      <c r="E118" s="511"/>
      <c r="F118" s="507"/>
      <c r="G118" s="511"/>
    </row>
    <row r="119" spans="1:7" ht="12">
      <c r="A119" s="402"/>
      <c r="B119" s="509" t="s">
        <v>195</v>
      </c>
      <c r="C119" s="512">
        <f>2.9</f>
        <v>2.9</v>
      </c>
      <c r="D119" s="504"/>
      <c r="E119" s="511"/>
      <c r="F119" s="507"/>
      <c r="G119" s="511"/>
    </row>
    <row r="120" spans="1:7" ht="12">
      <c r="A120" s="402"/>
      <c r="B120" s="509" t="s">
        <v>1295</v>
      </c>
      <c r="C120" s="512">
        <f>1.2</f>
        <v>1.2</v>
      </c>
      <c r="D120" s="504"/>
      <c r="E120" s="511"/>
      <c r="F120" s="507"/>
      <c r="G120" s="511"/>
    </row>
    <row r="121" spans="1:7" ht="12">
      <c r="A121" s="402"/>
      <c r="B121" s="509" t="s">
        <v>1301</v>
      </c>
      <c r="C121" s="512">
        <f>1.3</f>
        <v>1.3</v>
      </c>
      <c r="D121" s="504"/>
      <c r="E121" s="511"/>
      <c r="F121" s="507"/>
      <c r="G121" s="511"/>
    </row>
    <row r="122" spans="1:7" ht="12">
      <c r="A122" s="402"/>
      <c r="B122" s="509"/>
      <c r="C122" s="512">
        <f>SUM(C118:C121)*0.15*0.2</f>
        <v>0.189</v>
      </c>
      <c r="D122" s="504"/>
      <c r="E122" s="511"/>
      <c r="F122" s="507"/>
      <c r="G122" s="511"/>
    </row>
    <row r="123" spans="1:7" ht="12">
      <c r="A123" s="402" t="s">
        <v>204</v>
      </c>
      <c r="B123" s="529" t="s">
        <v>1331</v>
      </c>
      <c r="C123" s="404" t="s">
        <v>1332</v>
      </c>
      <c r="D123" s="403" t="s">
        <v>302</v>
      </c>
      <c r="E123" s="405">
        <v>1.2</v>
      </c>
      <c r="F123" s="405">
        <v>0</v>
      </c>
      <c r="G123" s="406">
        <f>E123*F123</f>
        <v>0</v>
      </c>
    </row>
    <row r="124" spans="1:7" ht="12">
      <c r="A124" s="402"/>
      <c r="B124" s="509"/>
      <c r="C124" s="512" t="s">
        <v>1333</v>
      </c>
      <c r="D124" s="504"/>
      <c r="E124" s="511"/>
      <c r="F124" s="507"/>
      <c r="G124" s="511"/>
    </row>
    <row r="125" spans="1:7" ht="12">
      <c r="A125" s="402"/>
      <c r="B125" s="509"/>
      <c r="C125" s="512">
        <f>(6.5+1.5)*0.5*0.15</f>
        <v>0.6</v>
      </c>
      <c r="D125" s="504"/>
      <c r="E125" s="511"/>
      <c r="F125" s="507"/>
      <c r="G125" s="511"/>
    </row>
    <row r="126" spans="1:7" ht="12">
      <c r="A126" s="402"/>
      <c r="B126" s="509"/>
      <c r="C126" s="512" t="s">
        <v>1334</v>
      </c>
      <c r="D126" s="504"/>
      <c r="E126" s="511"/>
      <c r="F126" s="507"/>
      <c r="G126" s="511"/>
    </row>
    <row r="127" spans="1:7" ht="12">
      <c r="A127" s="402"/>
      <c r="B127" s="509"/>
      <c r="C127" s="512">
        <f>(6.5+1.5)*0.5*0.15</f>
        <v>0.6</v>
      </c>
      <c r="D127" s="504"/>
      <c r="E127" s="511"/>
      <c r="F127" s="507"/>
      <c r="G127" s="511"/>
    </row>
    <row r="128" spans="1:7" ht="12">
      <c r="A128" s="402" t="s">
        <v>209</v>
      </c>
      <c r="B128" s="529" t="s">
        <v>306</v>
      </c>
      <c r="C128" s="404" t="s">
        <v>307</v>
      </c>
      <c r="D128" s="403" t="s">
        <v>93</v>
      </c>
      <c r="E128" s="405">
        <v>161.77</v>
      </c>
      <c r="F128" s="405">
        <v>0</v>
      </c>
      <c r="G128" s="406">
        <f>E128*F128</f>
        <v>0</v>
      </c>
    </row>
    <row r="129" spans="1:7" ht="12">
      <c r="A129" s="402"/>
      <c r="B129" s="509" t="s">
        <v>261</v>
      </c>
      <c r="C129" s="510">
        <f>(2.28*1+1.42*1.4)</f>
        <v>4.268</v>
      </c>
      <c r="D129" s="504"/>
      <c r="E129" s="511"/>
      <c r="F129" s="507"/>
      <c r="G129" s="511"/>
    </row>
    <row r="130" spans="1:7" ht="12">
      <c r="A130" s="402"/>
      <c r="B130" s="509" t="s">
        <v>195</v>
      </c>
      <c r="C130" s="512">
        <f>(2.9*2.79)+(2.9*1.98)+(2.9*1.1)+(3.15*2.88)+(4.32*2.75)+(1.15*0.35)*3</f>
        <v>39.182500000000005</v>
      </c>
      <c r="D130" s="504"/>
      <c r="E130" s="511"/>
      <c r="F130" s="507"/>
      <c r="G130" s="511"/>
    </row>
    <row r="131" spans="1:7" ht="12">
      <c r="A131" s="402"/>
      <c r="B131" s="509" t="s">
        <v>128</v>
      </c>
      <c r="C131" s="512">
        <f>(4.58*4.37)+(3+1.9+1)*0.3</f>
        <v>21.7846</v>
      </c>
      <c r="D131" s="504"/>
      <c r="E131" s="511"/>
      <c r="F131" s="507"/>
      <c r="G131" s="511"/>
    </row>
    <row r="132" spans="1:7" ht="12">
      <c r="A132" s="402"/>
      <c r="B132" s="509" t="s">
        <v>1293</v>
      </c>
      <c r="C132" s="512">
        <f>(3.48*4.37)+(2.3+2.3+1.8)*0.35</f>
        <v>17.4476</v>
      </c>
      <c r="D132" s="504"/>
      <c r="E132" s="511"/>
      <c r="F132" s="507"/>
      <c r="G132" s="511"/>
    </row>
    <row r="133" spans="1:7" ht="12">
      <c r="A133" s="402"/>
      <c r="B133" s="509" t="s">
        <v>1294</v>
      </c>
      <c r="C133" s="512">
        <f>(4.955*1.41)+(6.35*4.245)+(2.1+1.2+1)*0.3+(1.15+1.15)*0.75</f>
        <v>36.9573</v>
      </c>
      <c r="D133" s="504"/>
      <c r="E133" s="511"/>
      <c r="F133" s="507"/>
      <c r="G133" s="511"/>
    </row>
    <row r="134" spans="1:7" ht="12">
      <c r="A134" s="402"/>
      <c r="B134" s="509" t="s">
        <v>1295</v>
      </c>
      <c r="C134" s="512">
        <f>(1.43*1.41)+(2.65*2.57)+(1.05+1.15)*0.75+(1*0.3)+(2.88*2.29)</f>
        <v>17.372</v>
      </c>
      <c r="D134" s="504"/>
      <c r="E134" s="511"/>
      <c r="F134" s="507"/>
      <c r="G134" s="511"/>
    </row>
    <row r="135" spans="1:7" ht="12">
      <c r="A135" s="402"/>
      <c r="B135" s="509" t="s">
        <v>1296</v>
      </c>
      <c r="C135" s="512">
        <f>(2.42*1.38)+(1.92*0.6)</f>
        <v>4.491599999999999</v>
      </c>
      <c r="D135" s="504"/>
      <c r="E135" s="511"/>
      <c r="F135" s="507"/>
      <c r="G135" s="511"/>
    </row>
    <row r="136" spans="1:7" ht="12">
      <c r="A136" s="402"/>
      <c r="B136" s="509" t="s">
        <v>1297</v>
      </c>
      <c r="C136" s="512">
        <f>(2.3*0.91)</f>
        <v>2.093</v>
      </c>
      <c r="D136" s="504"/>
      <c r="E136" s="511"/>
      <c r="F136" s="507"/>
      <c r="G136" s="511"/>
    </row>
    <row r="137" spans="1:7" ht="12">
      <c r="A137" s="402"/>
      <c r="B137" s="509" t="s">
        <v>1298</v>
      </c>
      <c r="C137" s="512">
        <f>(0.91*2.3)</f>
        <v>2.093</v>
      </c>
      <c r="D137" s="504"/>
      <c r="E137" s="511"/>
      <c r="F137" s="507"/>
      <c r="G137" s="511"/>
    </row>
    <row r="138" spans="1:7" ht="12">
      <c r="A138" s="402"/>
      <c r="B138" s="509" t="s">
        <v>1299</v>
      </c>
      <c r="C138" s="512">
        <f>(2.4*2.57)</f>
        <v>6.167999999999999</v>
      </c>
      <c r="D138" s="504"/>
      <c r="E138" s="511"/>
      <c r="F138" s="507"/>
      <c r="G138" s="511"/>
    </row>
    <row r="139" spans="1:7" ht="12">
      <c r="A139" s="402"/>
      <c r="B139" s="509" t="s">
        <v>1300</v>
      </c>
      <c r="C139" s="512">
        <f>(1.1*2.57)</f>
        <v>2.827</v>
      </c>
      <c r="D139" s="504"/>
      <c r="E139" s="511"/>
      <c r="F139" s="507"/>
      <c r="G139" s="511"/>
    </row>
    <row r="140" spans="1:7" ht="12">
      <c r="A140" s="402"/>
      <c r="B140" s="509" t="s">
        <v>1301</v>
      </c>
      <c r="C140" s="512">
        <f>(1.3*1.35)+(3.05*1.75)</f>
        <v>7.092499999999999</v>
      </c>
      <c r="D140" s="504"/>
      <c r="E140" s="511"/>
      <c r="F140" s="507"/>
      <c r="G140" s="511"/>
    </row>
    <row r="141" spans="1:7" ht="12">
      <c r="A141" s="402"/>
      <c r="B141" s="513"/>
      <c r="C141" s="512">
        <f>SUM(C129:C140)</f>
        <v>161.7771</v>
      </c>
      <c r="D141" s="504"/>
      <c r="E141" s="511"/>
      <c r="F141" s="507"/>
      <c r="G141" s="511"/>
    </row>
    <row r="142" spans="1:7" ht="12">
      <c r="A142" s="402" t="s">
        <v>228</v>
      </c>
      <c r="B142" s="529" t="s">
        <v>316</v>
      </c>
      <c r="C142" s="404" t="s">
        <v>317</v>
      </c>
      <c r="D142" s="403" t="s">
        <v>104</v>
      </c>
      <c r="E142" s="405">
        <v>10</v>
      </c>
      <c r="F142" s="405">
        <v>0</v>
      </c>
      <c r="G142" s="406">
        <f>PRODUCT(E142*F142)</f>
        <v>0</v>
      </c>
    </row>
    <row r="143" spans="1:7" ht="12">
      <c r="A143" s="402"/>
      <c r="B143" s="529"/>
      <c r="C143" s="404" t="s">
        <v>1310</v>
      </c>
      <c r="D143" s="403"/>
      <c r="E143" s="405"/>
      <c r="F143" s="405"/>
      <c r="G143" s="406"/>
    </row>
    <row r="144" spans="1:7" ht="12">
      <c r="A144" s="402"/>
      <c r="B144" s="529"/>
      <c r="C144" s="404" t="s">
        <v>1309</v>
      </c>
      <c r="D144" s="403"/>
      <c r="E144" s="405"/>
      <c r="F144" s="405"/>
      <c r="G144" s="406"/>
    </row>
    <row r="145" spans="1:7" ht="12">
      <c r="A145" s="402"/>
      <c r="B145" s="529"/>
      <c r="C145" s="404"/>
      <c r="D145" s="403"/>
      <c r="E145" s="405"/>
      <c r="F145" s="405"/>
      <c r="G145" s="406"/>
    </row>
    <row r="146" spans="1:7" ht="12">
      <c r="A146" s="402" t="s">
        <v>234</v>
      </c>
      <c r="B146" s="529" t="s">
        <v>324</v>
      </c>
      <c r="C146" s="404" t="s">
        <v>325</v>
      </c>
      <c r="D146" s="403" t="s">
        <v>104</v>
      </c>
      <c r="E146" s="405">
        <v>3</v>
      </c>
      <c r="F146" s="405">
        <v>0</v>
      </c>
      <c r="G146" s="406">
        <f>PRODUCT(E146*F146)</f>
        <v>0</v>
      </c>
    </row>
    <row r="147" spans="1:7" ht="12">
      <c r="A147" s="402"/>
      <c r="B147" s="529"/>
      <c r="C147" s="404" t="s">
        <v>1311</v>
      </c>
      <c r="D147" s="403"/>
      <c r="E147" s="405"/>
      <c r="F147" s="405"/>
      <c r="G147" s="406"/>
    </row>
    <row r="148" spans="1:7" ht="12.75" thickBot="1">
      <c r="A148" s="584"/>
      <c r="B148" s="592"/>
      <c r="C148" s="593"/>
      <c r="D148" s="591"/>
      <c r="E148" s="594"/>
      <c r="F148" s="594"/>
      <c r="G148" s="588"/>
    </row>
    <row r="149" spans="1:7" ht="12.75" thickTop="1">
      <c r="A149" s="579"/>
      <c r="B149" s="589"/>
      <c r="C149" s="581" t="s">
        <v>160</v>
      </c>
      <c r="D149" s="589"/>
      <c r="E149" s="590"/>
      <c r="F149" s="590"/>
      <c r="G149" s="583">
        <f>SUM(G116:G148)</f>
        <v>0</v>
      </c>
    </row>
    <row r="150" spans="1:7" ht="12">
      <c r="A150" s="402"/>
      <c r="B150" s="496">
        <v>94</v>
      </c>
      <c r="C150" s="501" t="s">
        <v>19</v>
      </c>
      <c r="D150" s="496"/>
      <c r="E150" s="502"/>
      <c r="F150" s="502"/>
      <c r="G150" s="503"/>
    </row>
    <row r="151" spans="1:8" ht="12">
      <c r="A151" s="402" t="s">
        <v>240</v>
      </c>
      <c r="B151" s="403" t="s">
        <v>328</v>
      </c>
      <c r="C151" s="404" t="s">
        <v>329</v>
      </c>
      <c r="D151" s="403" t="s">
        <v>93</v>
      </c>
      <c r="E151" s="405">
        <v>161.77</v>
      </c>
      <c r="F151" s="405">
        <v>0</v>
      </c>
      <c r="G151" s="406">
        <f>PRODUCT(E151*F151)</f>
        <v>0</v>
      </c>
      <c r="H151" s="191"/>
    </row>
    <row r="152" spans="1:8" ht="12">
      <c r="A152" s="402"/>
      <c r="B152" s="403"/>
      <c r="C152" s="403">
        <v>126.5</v>
      </c>
      <c r="D152" s="403"/>
      <c r="E152" s="405"/>
      <c r="F152" s="405"/>
      <c r="G152" s="406"/>
      <c r="H152" s="191"/>
    </row>
    <row r="153" spans="1:8" ht="12">
      <c r="A153" s="402" t="s">
        <v>243</v>
      </c>
      <c r="B153" s="403" t="s">
        <v>343</v>
      </c>
      <c r="C153" s="404" t="s">
        <v>344</v>
      </c>
      <c r="D153" s="403" t="s">
        <v>93</v>
      </c>
      <c r="E153" s="405">
        <v>161.77</v>
      </c>
      <c r="F153" s="530">
        <v>0</v>
      </c>
      <c r="G153" s="406">
        <f>PRODUCT(E153*F153)</f>
        <v>0</v>
      </c>
      <c r="H153" s="191"/>
    </row>
    <row r="154" spans="1:8" ht="12">
      <c r="A154" s="402" t="s">
        <v>246</v>
      </c>
      <c r="B154" s="403" t="s">
        <v>353</v>
      </c>
      <c r="C154" s="404" t="s">
        <v>354</v>
      </c>
      <c r="D154" s="403" t="s">
        <v>104</v>
      </c>
      <c r="E154" s="405">
        <v>5</v>
      </c>
      <c r="F154" s="405">
        <v>0</v>
      </c>
      <c r="G154" s="406">
        <f>PRODUCT(E154*F154)</f>
        <v>0</v>
      </c>
      <c r="H154" s="191"/>
    </row>
    <row r="155" spans="1:7" ht="13.5" customHeight="1" thickBot="1">
      <c r="A155" s="584" t="s">
        <v>249</v>
      </c>
      <c r="B155" s="591" t="s">
        <v>356</v>
      </c>
      <c r="C155" s="593" t="s">
        <v>357</v>
      </c>
      <c r="D155" s="591" t="s">
        <v>358</v>
      </c>
      <c r="E155" s="594">
        <v>68.06</v>
      </c>
      <c r="F155" s="594">
        <v>0</v>
      </c>
      <c r="G155" s="588">
        <f>PRODUCT(E155*F155)</f>
        <v>0</v>
      </c>
    </row>
    <row r="156" spans="1:9" ht="12.75" thickTop="1">
      <c r="A156" s="579"/>
      <c r="B156" s="589"/>
      <c r="C156" s="581" t="s">
        <v>160</v>
      </c>
      <c r="D156" s="589"/>
      <c r="E156" s="590"/>
      <c r="F156" s="590"/>
      <c r="G156" s="583">
        <f>SUM(G150:G155)</f>
        <v>0</v>
      </c>
      <c r="I156" s="158"/>
    </row>
    <row r="157" spans="1:7" ht="12">
      <c r="A157" s="402"/>
      <c r="B157" s="531" t="s">
        <v>359</v>
      </c>
      <c r="C157" s="501" t="s">
        <v>20</v>
      </c>
      <c r="D157" s="496"/>
      <c r="E157" s="503"/>
      <c r="F157" s="502"/>
      <c r="G157" s="503"/>
    </row>
    <row r="158" spans="1:7" ht="12">
      <c r="A158" s="402" t="s">
        <v>281</v>
      </c>
      <c r="B158" s="513" t="s">
        <v>361</v>
      </c>
      <c r="C158" s="512" t="s">
        <v>362</v>
      </c>
      <c r="D158" s="504" t="s">
        <v>93</v>
      </c>
      <c r="E158" s="511">
        <v>161.77</v>
      </c>
      <c r="F158" s="507">
        <v>0</v>
      </c>
      <c r="G158" s="511">
        <f>E158*F158</f>
        <v>0</v>
      </c>
    </row>
    <row r="159" spans="1:7" ht="12">
      <c r="A159" s="402"/>
      <c r="B159" s="509" t="s">
        <v>261</v>
      </c>
      <c r="C159" s="510">
        <f>(2.28*1+1.42*1.4)</f>
        <v>4.268</v>
      </c>
      <c r="D159" s="504"/>
      <c r="E159" s="511"/>
      <c r="F159" s="507"/>
      <c r="G159" s="511"/>
    </row>
    <row r="160" spans="1:7" ht="12">
      <c r="A160" s="402"/>
      <c r="B160" s="509" t="s">
        <v>195</v>
      </c>
      <c r="C160" s="512">
        <f>(2.9*2.79)+(2.9*1.98)+(2.9*1.1)+(3.15*2.88)+(4.32*2.75)+(1.15*0.35)*3</f>
        <v>39.182500000000005</v>
      </c>
      <c r="D160" s="504"/>
      <c r="E160" s="511"/>
      <c r="F160" s="507"/>
      <c r="G160" s="511"/>
    </row>
    <row r="161" spans="1:7" ht="12">
      <c r="A161" s="402"/>
      <c r="B161" s="509" t="s">
        <v>128</v>
      </c>
      <c r="C161" s="512">
        <f>(4.58*4.37)+(3+1.9+1)*0.3</f>
        <v>21.7846</v>
      </c>
      <c r="D161" s="504"/>
      <c r="E161" s="511"/>
      <c r="F161" s="507"/>
      <c r="G161" s="511"/>
    </row>
    <row r="162" spans="1:7" ht="12">
      <c r="A162" s="402"/>
      <c r="B162" s="509" t="s">
        <v>1293</v>
      </c>
      <c r="C162" s="512">
        <f>(3.48*4.37)+(2.3+2.3+1.8)*0.35</f>
        <v>17.4476</v>
      </c>
      <c r="D162" s="504"/>
      <c r="E162" s="511"/>
      <c r="F162" s="507"/>
      <c r="G162" s="511"/>
    </row>
    <row r="163" spans="1:7" ht="12">
      <c r="A163" s="402"/>
      <c r="B163" s="509" t="s">
        <v>1294</v>
      </c>
      <c r="C163" s="512">
        <f>(4.955*1.41)+(6.35*4.245)+(2.1+1.2+1)*0.3+(1.15+1.15)*0.75</f>
        <v>36.9573</v>
      </c>
      <c r="D163" s="504"/>
      <c r="E163" s="511"/>
      <c r="F163" s="507"/>
      <c r="G163" s="511"/>
    </row>
    <row r="164" spans="1:7" ht="12">
      <c r="A164" s="402"/>
      <c r="B164" s="509" t="s">
        <v>1295</v>
      </c>
      <c r="C164" s="512">
        <f>(1.43*1.41)+(2.65*2.57)+(1.05+1.15)*0.75+(1*0.3)+(2.88*2.29)</f>
        <v>17.372</v>
      </c>
      <c r="D164" s="504"/>
      <c r="E164" s="511"/>
      <c r="F164" s="507"/>
      <c r="G164" s="511"/>
    </row>
    <row r="165" spans="1:7" ht="12">
      <c r="A165" s="402"/>
      <c r="B165" s="509" t="s">
        <v>1296</v>
      </c>
      <c r="C165" s="512">
        <f>(2.42*1.38)+(1.92*0.6)</f>
        <v>4.491599999999999</v>
      </c>
      <c r="D165" s="504"/>
      <c r="E165" s="511"/>
      <c r="F165" s="507"/>
      <c r="G165" s="511"/>
    </row>
    <row r="166" spans="1:7" ht="12">
      <c r="A166" s="402"/>
      <c r="B166" s="509" t="s">
        <v>1297</v>
      </c>
      <c r="C166" s="512">
        <f>(2.3*0.91)</f>
        <v>2.093</v>
      </c>
      <c r="D166" s="504"/>
      <c r="E166" s="511"/>
      <c r="F166" s="507"/>
      <c r="G166" s="511"/>
    </row>
    <row r="167" spans="1:7" ht="12">
      <c r="A167" s="402"/>
      <c r="B167" s="509" t="s">
        <v>1298</v>
      </c>
      <c r="C167" s="512">
        <f>(0.91*2.3)</f>
        <v>2.093</v>
      </c>
      <c r="D167" s="504"/>
      <c r="E167" s="511"/>
      <c r="F167" s="507"/>
      <c r="G167" s="511"/>
    </row>
    <row r="168" spans="1:7" ht="12">
      <c r="A168" s="402"/>
      <c r="B168" s="509" t="s">
        <v>1299</v>
      </c>
      <c r="C168" s="512">
        <f>(2.4*2.57)</f>
        <v>6.167999999999999</v>
      </c>
      <c r="D168" s="504"/>
      <c r="E168" s="511"/>
      <c r="F168" s="507"/>
      <c r="G168" s="511"/>
    </row>
    <row r="169" spans="1:7" ht="12">
      <c r="A169" s="402"/>
      <c r="B169" s="509" t="s">
        <v>1300</v>
      </c>
      <c r="C169" s="512">
        <f>(1.1*2.57)</f>
        <v>2.827</v>
      </c>
      <c r="D169" s="504"/>
      <c r="E169" s="511"/>
      <c r="F169" s="507"/>
      <c r="G169" s="511"/>
    </row>
    <row r="170" spans="1:7" ht="12">
      <c r="A170" s="402"/>
      <c r="B170" s="509" t="s">
        <v>1301</v>
      </c>
      <c r="C170" s="512">
        <f>(1.3*1.35)+(3.05*1.75)</f>
        <v>7.092499999999999</v>
      </c>
      <c r="D170" s="504"/>
      <c r="E170" s="511"/>
      <c r="F170" s="507"/>
      <c r="G170" s="511"/>
    </row>
    <row r="171" spans="1:7" ht="12">
      <c r="A171" s="402"/>
      <c r="B171" s="513"/>
      <c r="C171" s="512">
        <f>SUM(C159:C170)</f>
        <v>161.7771</v>
      </c>
      <c r="D171" s="504"/>
      <c r="E171" s="511"/>
      <c r="F171" s="507"/>
      <c r="G171" s="511"/>
    </row>
    <row r="172" spans="1:9" s="159" customFormat="1" ht="12">
      <c r="A172" s="514" t="s">
        <v>283</v>
      </c>
      <c r="B172" s="514" t="s">
        <v>372</v>
      </c>
      <c r="C172" s="510" t="s">
        <v>373</v>
      </c>
      <c r="D172" s="532" t="s">
        <v>157</v>
      </c>
      <c r="E172" s="518">
        <v>81.76</v>
      </c>
      <c r="F172" s="506">
        <v>0</v>
      </c>
      <c r="G172" s="518">
        <f>E172*F172</f>
        <v>0</v>
      </c>
      <c r="H172" s="489"/>
      <c r="I172" s="107"/>
    </row>
    <row r="173" spans="1:9" s="159" customFormat="1" ht="12">
      <c r="A173" s="514"/>
      <c r="B173" s="519" t="s">
        <v>195</v>
      </c>
      <c r="C173" s="510">
        <f>(2.79+2.9)*2+(1.95+2.9)*2+(1.1+2.9)*2+(3.15+2.88)*2+(4.32+2.75)*2+(1.1*2+0.8*2)</f>
        <v>59.08</v>
      </c>
      <c r="D173" s="532"/>
      <c r="E173" s="518"/>
      <c r="F173" s="506"/>
      <c r="G173" s="518"/>
      <c r="H173" s="158"/>
      <c r="I173" s="107"/>
    </row>
    <row r="174" spans="1:7" ht="12">
      <c r="A174" s="402"/>
      <c r="B174" s="500" t="s">
        <v>128</v>
      </c>
      <c r="C174" s="415">
        <f>(4.58+4.37)*2</f>
        <v>17.9</v>
      </c>
      <c r="D174" s="403"/>
      <c r="E174" s="405"/>
      <c r="F174" s="405"/>
      <c r="G174" s="406"/>
    </row>
    <row r="175" spans="1:7" ht="12">
      <c r="A175" s="402"/>
      <c r="B175" s="500" t="s">
        <v>1293</v>
      </c>
      <c r="C175" s="404">
        <f>(2.95+3.48+2.95)-2.3-2.3</f>
        <v>4.779999999999999</v>
      </c>
      <c r="D175" s="403"/>
      <c r="E175" s="405"/>
      <c r="F175" s="405"/>
      <c r="G175" s="406"/>
    </row>
    <row r="176" spans="1:7" ht="12">
      <c r="A176" s="402"/>
      <c r="B176" s="513"/>
      <c r="C176" s="512">
        <f>SUM(C173:C175)</f>
        <v>81.75999999999999</v>
      </c>
      <c r="D176" s="504"/>
      <c r="E176" s="511"/>
      <c r="F176" s="507"/>
      <c r="G176" s="511"/>
    </row>
    <row r="177" spans="1:7" ht="12">
      <c r="A177" s="402" t="s">
        <v>286</v>
      </c>
      <c r="B177" s="513" t="s">
        <v>377</v>
      </c>
      <c r="C177" s="512" t="s">
        <v>388</v>
      </c>
      <c r="D177" s="504" t="s">
        <v>302</v>
      </c>
      <c r="E177" s="511">
        <v>3.4</v>
      </c>
      <c r="F177" s="507">
        <v>0</v>
      </c>
      <c r="G177" s="511">
        <f>E177*F177</f>
        <v>0</v>
      </c>
    </row>
    <row r="178" spans="1:7" ht="12">
      <c r="A178" s="402"/>
      <c r="B178" s="509"/>
      <c r="C178" s="512" t="s">
        <v>1328</v>
      </c>
      <c r="D178" s="504"/>
      <c r="E178" s="511"/>
      <c r="F178" s="507"/>
      <c r="G178" s="511"/>
    </row>
    <row r="179" spans="1:7" ht="12">
      <c r="A179" s="402"/>
      <c r="B179" s="513"/>
      <c r="C179" s="512">
        <f>(7+1.5)*0.5*0.4*2</f>
        <v>3.4000000000000004</v>
      </c>
      <c r="D179" s="504"/>
      <c r="E179" s="511"/>
      <c r="F179" s="507"/>
      <c r="G179" s="511"/>
    </row>
    <row r="180" spans="1:7" ht="12">
      <c r="A180" s="402"/>
      <c r="B180" s="513"/>
      <c r="C180" s="512"/>
      <c r="D180" s="504"/>
      <c r="E180" s="511"/>
      <c r="F180" s="507"/>
      <c r="G180" s="511"/>
    </row>
    <row r="181" spans="1:9" s="159" customFormat="1" ht="12">
      <c r="A181" s="514" t="s">
        <v>296</v>
      </c>
      <c r="B181" s="533" t="s">
        <v>433</v>
      </c>
      <c r="C181" s="510" t="s">
        <v>434</v>
      </c>
      <c r="D181" s="510" t="s">
        <v>157</v>
      </c>
      <c r="E181" s="518">
        <v>59.2</v>
      </c>
      <c r="F181" s="506">
        <v>0</v>
      </c>
      <c r="G181" s="518">
        <f>E181*F181</f>
        <v>0</v>
      </c>
      <c r="H181" s="488"/>
      <c r="I181" s="158"/>
    </row>
    <row r="182" spans="1:9" s="159" customFormat="1" ht="12">
      <c r="A182" s="514"/>
      <c r="B182" s="533"/>
      <c r="C182" s="510">
        <f>12+22+18+7.2</f>
        <v>59.2</v>
      </c>
      <c r="D182" s="510"/>
      <c r="E182" s="518"/>
      <c r="F182" s="506"/>
      <c r="G182" s="518"/>
      <c r="H182" s="158"/>
      <c r="I182" s="158"/>
    </row>
    <row r="183" spans="1:7" ht="12">
      <c r="A183" s="402" t="s">
        <v>299</v>
      </c>
      <c r="B183" s="402" t="s">
        <v>457</v>
      </c>
      <c r="C183" s="415" t="s">
        <v>458</v>
      </c>
      <c r="D183" s="402" t="s">
        <v>104</v>
      </c>
      <c r="E183" s="528">
        <v>12</v>
      </c>
      <c r="F183" s="507">
        <v>0</v>
      </c>
      <c r="G183" s="511">
        <f>E183*F183</f>
        <v>0</v>
      </c>
    </row>
    <row r="184" spans="1:7" ht="12">
      <c r="A184" s="402"/>
      <c r="B184" s="498" t="s">
        <v>1304</v>
      </c>
      <c r="C184" s="415" t="s">
        <v>1303</v>
      </c>
      <c r="D184" s="402"/>
      <c r="E184" s="528"/>
      <c r="F184" s="507"/>
      <c r="G184" s="511"/>
    </row>
    <row r="185" spans="1:7" ht="12">
      <c r="A185" s="402" t="s">
        <v>305</v>
      </c>
      <c r="B185" s="402" t="s">
        <v>465</v>
      </c>
      <c r="C185" s="415" t="s">
        <v>466</v>
      </c>
      <c r="D185" s="402" t="s">
        <v>93</v>
      </c>
      <c r="E185" s="528">
        <v>18.96</v>
      </c>
      <c r="F185" s="507">
        <v>0</v>
      </c>
      <c r="G185" s="511">
        <f>E185*F185</f>
        <v>0</v>
      </c>
    </row>
    <row r="186" spans="1:9" s="159" customFormat="1" ht="12">
      <c r="A186" s="514"/>
      <c r="B186" s="498" t="s">
        <v>1304</v>
      </c>
      <c r="C186" s="415" t="s">
        <v>1303</v>
      </c>
      <c r="D186" s="514"/>
      <c r="E186" s="517"/>
      <c r="F186" s="506"/>
      <c r="G186" s="518"/>
      <c r="H186" s="158"/>
      <c r="I186" s="107"/>
    </row>
    <row r="187" spans="1:8" ht="12">
      <c r="A187" s="402" t="s">
        <v>315</v>
      </c>
      <c r="B187" s="513" t="s">
        <v>420</v>
      </c>
      <c r="C187" s="512" t="s">
        <v>421</v>
      </c>
      <c r="D187" s="504" t="s">
        <v>93</v>
      </c>
      <c r="E187" s="511">
        <v>18.33</v>
      </c>
      <c r="F187" s="507">
        <v>0</v>
      </c>
      <c r="G187" s="511">
        <f>E187*F187</f>
        <v>0</v>
      </c>
      <c r="H187" s="191"/>
    </row>
    <row r="188" spans="1:7" ht="12">
      <c r="A188" s="402"/>
      <c r="B188" s="509" t="s">
        <v>261</v>
      </c>
      <c r="C188" s="512">
        <f>0.9*2.91</f>
        <v>2.619</v>
      </c>
      <c r="D188" s="504"/>
      <c r="E188" s="511"/>
      <c r="F188" s="507"/>
      <c r="G188" s="511"/>
    </row>
    <row r="189" spans="1:7" ht="12">
      <c r="A189" s="402"/>
      <c r="B189" s="509" t="s">
        <v>195</v>
      </c>
      <c r="C189" s="512">
        <f>(2.9*2.91)</f>
        <v>8.439</v>
      </c>
      <c r="D189" s="504"/>
      <c r="E189" s="511"/>
      <c r="F189" s="507"/>
      <c r="G189" s="511"/>
    </row>
    <row r="190" spans="1:7" ht="12">
      <c r="A190" s="402"/>
      <c r="B190" s="509" t="s">
        <v>1295</v>
      </c>
      <c r="C190" s="512">
        <f>1.2*2.91</f>
        <v>3.492</v>
      </c>
      <c r="D190" s="504"/>
      <c r="E190" s="511"/>
      <c r="F190" s="507"/>
      <c r="G190" s="511"/>
    </row>
    <row r="191" spans="1:7" ht="12">
      <c r="A191" s="402"/>
      <c r="B191" s="509" t="s">
        <v>1301</v>
      </c>
      <c r="C191" s="512">
        <f>(1.3*2.91)</f>
        <v>3.7830000000000004</v>
      </c>
      <c r="D191" s="504"/>
      <c r="E191" s="511"/>
      <c r="F191" s="507"/>
      <c r="G191" s="511"/>
    </row>
    <row r="192" spans="1:7" ht="12">
      <c r="A192" s="402"/>
      <c r="B192" s="509"/>
      <c r="C192" s="512">
        <f>SUM(C188:C191)</f>
        <v>18.333000000000002</v>
      </c>
      <c r="D192" s="504"/>
      <c r="E192" s="511"/>
      <c r="F192" s="507"/>
      <c r="G192" s="511"/>
    </row>
    <row r="193" spans="1:7" ht="12">
      <c r="A193" s="402" t="s">
        <v>323</v>
      </c>
      <c r="B193" s="513" t="s">
        <v>423</v>
      </c>
      <c r="C193" s="512" t="s">
        <v>424</v>
      </c>
      <c r="D193" s="504" t="s">
        <v>93</v>
      </c>
      <c r="E193" s="511">
        <v>9.24</v>
      </c>
      <c r="F193" s="507">
        <v>0</v>
      </c>
      <c r="G193" s="511">
        <f>E193*F193</f>
        <v>0</v>
      </c>
    </row>
    <row r="194" spans="1:7" ht="12">
      <c r="A194" s="402"/>
      <c r="B194" s="513"/>
      <c r="C194" s="512" t="s">
        <v>425</v>
      </c>
      <c r="D194" s="504"/>
      <c r="E194" s="511"/>
      <c r="F194" s="507"/>
      <c r="G194" s="511"/>
    </row>
    <row r="195" spans="1:7" ht="12">
      <c r="A195" s="402"/>
      <c r="B195" s="509" t="s">
        <v>261</v>
      </c>
      <c r="C195" s="512">
        <f>(1.1*2.1)</f>
        <v>2.3100000000000005</v>
      </c>
      <c r="D195" s="504"/>
      <c r="E195" s="511"/>
      <c r="F195" s="507"/>
      <c r="G195" s="511"/>
    </row>
    <row r="196" spans="1:7" ht="12">
      <c r="A196" s="402"/>
      <c r="B196" s="509" t="s">
        <v>1294</v>
      </c>
      <c r="C196" s="512">
        <f>(1.1*2.1)</f>
        <v>2.3100000000000005</v>
      </c>
      <c r="D196" s="504"/>
      <c r="E196" s="511"/>
      <c r="F196" s="507"/>
      <c r="G196" s="511"/>
    </row>
    <row r="197" spans="1:7" ht="12">
      <c r="A197" s="402"/>
      <c r="B197" s="509" t="s">
        <v>1295</v>
      </c>
      <c r="C197" s="512">
        <f>(1.1*2.1)</f>
        <v>2.3100000000000005</v>
      </c>
      <c r="D197" s="504"/>
      <c r="E197" s="511"/>
      <c r="F197" s="507"/>
      <c r="G197" s="511"/>
    </row>
    <row r="198" spans="1:7" ht="12">
      <c r="A198" s="402"/>
      <c r="B198" s="509" t="s">
        <v>1301</v>
      </c>
      <c r="C198" s="512">
        <f>(1.1*2.1)</f>
        <v>2.3100000000000005</v>
      </c>
      <c r="D198" s="504"/>
      <c r="E198" s="511"/>
      <c r="F198" s="507"/>
      <c r="G198" s="511"/>
    </row>
    <row r="199" spans="1:7" ht="12">
      <c r="A199" s="402"/>
      <c r="B199" s="509"/>
      <c r="C199" s="512">
        <f>SUM(C195:C198)</f>
        <v>9.240000000000002</v>
      </c>
      <c r="D199" s="504"/>
      <c r="E199" s="511"/>
      <c r="F199" s="507"/>
      <c r="G199" s="511"/>
    </row>
    <row r="200" spans="1:7" ht="12">
      <c r="A200" s="402" t="s">
        <v>327</v>
      </c>
      <c r="B200" s="533" t="s">
        <v>1318</v>
      </c>
      <c r="C200" s="510" t="s">
        <v>1319</v>
      </c>
      <c r="D200" s="532" t="s">
        <v>302</v>
      </c>
      <c r="E200" s="518">
        <v>0.735</v>
      </c>
      <c r="F200" s="506">
        <v>0</v>
      </c>
      <c r="G200" s="518">
        <f>E200*F200</f>
        <v>0</v>
      </c>
    </row>
    <row r="201" spans="1:7" ht="12">
      <c r="A201" s="402"/>
      <c r="B201" s="519" t="s">
        <v>128</v>
      </c>
      <c r="C201" s="510">
        <f>(1*2.1)*0.35</f>
        <v>0.735</v>
      </c>
      <c r="D201" s="532"/>
      <c r="E201" s="518"/>
      <c r="F201" s="506"/>
      <c r="G201" s="518"/>
    </row>
    <row r="202" spans="1:7" ht="12">
      <c r="A202" s="402" t="s">
        <v>330</v>
      </c>
      <c r="B202" s="533" t="s">
        <v>1358</v>
      </c>
      <c r="C202" s="510" t="s">
        <v>1359</v>
      </c>
      <c r="D202" s="532" t="s">
        <v>157</v>
      </c>
      <c r="E202" s="518">
        <v>63.6</v>
      </c>
      <c r="F202" s="506">
        <v>0</v>
      </c>
      <c r="G202" s="518">
        <f>E202*F202</f>
        <v>0</v>
      </c>
    </row>
    <row r="203" spans="1:7" ht="12">
      <c r="A203" s="402"/>
      <c r="B203" s="519"/>
      <c r="C203" s="510">
        <f>12+22+12+8*2.2</f>
        <v>63.6</v>
      </c>
      <c r="D203" s="532"/>
      <c r="E203" s="518"/>
      <c r="F203" s="506"/>
      <c r="G203" s="518"/>
    </row>
    <row r="204" spans="1:7" ht="12">
      <c r="A204" s="402" t="s">
        <v>333</v>
      </c>
      <c r="B204" s="533" t="s">
        <v>1360</v>
      </c>
      <c r="C204" s="510" t="s">
        <v>1361</v>
      </c>
      <c r="D204" s="532" t="s">
        <v>157</v>
      </c>
      <c r="E204" s="518">
        <v>80.4</v>
      </c>
      <c r="F204" s="506">
        <v>0</v>
      </c>
      <c r="G204" s="518">
        <f>E204*F204</f>
        <v>0</v>
      </c>
    </row>
    <row r="205" spans="1:7" ht="12">
      <c r="A205" s="402"/>
      <c r="B205" s="519"/>
      <c r="C205" s="510">
        <f>4+12+12+16+18.2+18.2</f>
        <v>80.4</v>
      </c>
      <c r="D205" s="532"/>
      <c r="E205" s="518"/>
      <c r="F205" s="506"/>
      <c r="G205" s="518"/>
    </row>
    <row r="206" spans="1:9" s="159" customFormat="1" ht="12">
      <c r="A206" s="514" t="s">
        <v>336</v>
      </c>
      <c r="B206" s="514" t="s">
        <v>411</v>
      </c>
      <c r="C206" s="510" t="s">
        <v>412</v>
      </c>
      <c r="D206" s="514" t="s">
        <v>93</v>
      </c>
      <c r="E206" s="517">
        <v>161.77</v>
      </c>
      <c r="F206" s="506">
        <v>0</v>
      </c>
      <c r="G206" s="518">
        <f>E206*F206</f>
        <v>0</v>
      </c>
      <c r="H206" s="196"/>
      <c r="I206" s="158"/>
    </row>
    <row r="207" spans="1:7" ht="12">
      <c r="A207" s="402"/>
      <c r="B207" s="509" t="s">
        <v>261</v>
      </c>
      <c r="C207" s="510">
        <f>(2.28*1+1.42*1.4)</f>
        <v>4.268</v>
      </c>
      <c r="D207" s="504"/>
      <c r="E207" s="511"/>
      <c r="F207" s="507"/>
      <c r="G207" s="511"/>
    </row>
    <row r="208" spans="1:7" ht="12">
      <c r="A208" s="402"/>
      <c r="B208" s="509" t="s">
        <v>195</v>
      </c>
      <c r="C208" s="512">
        <f>(2.9*2.79)+(2.9*1.98)+(2.9*1.1)+(3.15*2.88)+(4.32*2.75)+(1.15*0.35)*3</f>
        <v>39.182500000000005</v>
      </c>
      <c r="D208" s="504"/>
      <c r="E208" s="511"/>
      <c r="F208" s="507"/>
      <c r="G208" s="511"/>
    </row>
    <row r="209" spans="1:7" ht="12">
      <c r="A209" s="402"/>
      <c r="B209" s="509" t="s">
        <v>128</v>
      </c>
      <c r="C209" s="510">
        <f>(4.58*4.37)+(3+1.9+1)*0.3</f>
        <v>21.7846</v>
      </c>
      <c r="D209" s="504"/>
      <c r="E209" s="511"/>
      <c r="F209" s="507"/>
      <c r="G209" s="511"/>
    </row>
    <row r="210" spans="1:7" ht="12">
      <c r="A210" s="402"/>
      <c r="B210" s="509" t="s">
        <v>1293</v>
      </c>
      <c r="C210" s="512">
        <f>(3.48*4.37)+(2.3+2.3+1.8)*0.35</f>
        <v>17.4476</v>
      </c>
      <c r="D210" s="504"/>
      <c r="E210" s="511"/>
      <c r="F210" s="507"/>
      <c r="G210" s="511"/>
    </row>
    <row r="211" spans="1:7" ht="12">
      <c r="A211" s="402"/>
      <c r="B211" s="509" t="s">
        <v>1294</v>
      </c>
      <c r="C211" s="512">
        <f>(4.955*1.41)+(6.35*4.245)+(2.1+1.2+1)*0.3+(1.15+1.15)*0.75</f>
        <v>36.9573</v>
      </c>
      <c r="D211" s="504"/>
      <c r="E211" s="511"/>
      <c r="F211" s="507"/>
      <c r="G211" s="511"/>
    </row>
    <row r="212" spans="1:7" ht="12">
      <c r="A212" s="402"/>
      <c r="B212" s="509" t="s">
        <v>1295</v>
      </c>
      <c r="C212" s="512">
        <f>(1.43*1.41)+(2.65*2.57)+(1.05+1.15)*0.75+(1*0.3)+(2.88*2.29)</f>
        <v>17.372</v>
      </c>
      <c r="D212" s="504"/>
      <c r="E212" s="511"/>
      <c r="F212" s="507"/>
      <c r="G212" s="511"/>
    </row>
    <row r="213" spans="1:7" ht="12">
      <c r="A213" s="402"/>
      <c r="B213" s="509" t="s">
        <v>1296</v>
      </c>
      <c r="C213" s="512">
        <f>(2.42*1.38)+(1.92*0.6)</f>
        <v>4.491599999999999</v>
      </c>
      <c r="D213" s="504"/>
      <c r="E213" s="511"/>
      <c r="F213" s="507"/>
      <c r="G213" s="511"/>
    </row>
    <row r="214" spans="1:7" ht="12">
      <c r="A214" s="402"/>
      <c r="B214" s="509" t="s">
        <v>1297</v>
      </c>
      <c r="C214" s="512">
        <f>(2.3*0.91)</f>
        <v>2.093</v>
      </c>
      <c r="D214" s="504"/>
      <c r="E214" s="511"/>
      <c r="F214" s="507"/>
      <c r="G214" s="511"/>
    </row>
    <row r="215" spans="1:7" ht="12">
      <c r="A215" s="402"/>
      <c r="B215" s="509" t="s">
        <v>1298</v>
      </c>
      <c r="C215" s="512">
        <f>(0.91*2.3)</f>
        <v>2.093</v>
      </c>
      <c r="D215" s="504"/>
      <c r="E215" s="511"/>
      <c r="F215" s="507"/>
      <c r="G215" s="511"/>
    </row>
    <row r="216" spans="1:7" ht="12">
      <c r="A216" s="402"/>
      <c r="B216" s="509" t="s">
        <v>1299</v>
      </c>
      <c r="C216" s="512">
        <f>(2.4*2.57)</f>
        <v>6.167999999999999</v>
      </c>
      <c r="D216" s="504"/>
      <c r="E216" s="511"/>
      <c r="F216" s="507"/>
      <c r="G216" s="511"/>
    </row>
    <row r="217" spans="1:7" ht="12">
      <c r="A217" s="402"/>
      <c r="B217" s="509" t="s">
        <v>1300</v>
      </c>
      <c r="C217" s="512">
        <f>(1.1*2.57)</f>
        <v>2.827</v>
      </c>
      <c r="D217" s="504"/>
      <c r="E217" s="511"/>
      <c r="F217" s="507"/>
      <c r="G217" s="511"/>
    </row>
    <row r="218" spans="1:7" ht="12">
      <c r="A218" s="402"/>
      <c r="B218" s="509" t="s">
        <v>1301</v>
      </c>
      <c r="C218" s="512">
        <f>(1.3*1.35)+(3.05*1.75)</f>
        <v>7.092499999999999</v>
      </c>
      <c r="D218" s="504"/>
      <c r="E218" s="511"/>
      <c r="F218" s="507"/>
      <c r="G218" s="511"/>
    </row>
    <row r="219" spans="1:7" ht="12">
      <c r="A219" s="402"/>
      <c r="B219" s="513"/>
      <c r="C219" s="512">
        <f>SUM(C207:C218)</f>
        <v>161.7771</v>
      </c>
      <c r="D219" s="504"/>
      <c r="E219" s="511"/>
      <c r="F219" s="507"/>
      <c r="G219" s="511"/>
    </row>
    <row r="220" spans="1:9" s="159" customFormat="1" ht="12">
      <c r="A220" s="514" t="s">
        <v>339</v>
      </c>
      <c r="B220" s="514" t="s">
        <v>414</v>
      </c>
      <c r="C220" s="510" t="s">
        <v>415</v>
      </c>
      <c r="D220" s="514" t="s">
        <v>93</v>
      </c>
      <c r="E220" s="517">
        <v>361.58</v>
      </c>
      <c r="F220" s="506">
        <v>0</v>
      </c>
      <c r="G220" s="518">
        <f>E220*F220</f>
        <v>0</v>
      </c>
      <c r="H220" s="196"/>
      <c r="I220" s="158"/>
    </row>
    <row r="221" spans="1:9" s="159" customFormat="1" ht="12">
      <c r="A221" s="514"/>
      <c r="B221" s="515" t="s">
        <v>261</v>
      </c>
      <c r="C221" s="516">
        <f>((2.42+2.28)*2*1)</f>
        <v>9.399999999999999</v>
      </c>
      <c r="D221" s="514"/>
      <c r="E221" s="517"/>
      <c r="F221" s="506"/>
      <c r="G221" s="518"/>
      <c r="H221" s="196"/>
      <c r="I221" s="158"/>
    </row>
    <row r="222" spans="1:9" s="159" customFormat="1" ht="12">
      <c r="A222" s="514"/>
      <c r="B222" s="519" t="s">
        <v>195</v>
      </c>
      <c r="C222" s="510">
        <f>((2.79+2.9)*2+(1.95+2.9)*2+(1.1+2.9)*2+(3.15+2.88)*2+(4.32+2.75)*2+(1.1*2+0.8*2))*2.91</f>
        <v>171.9228</v>
      </c>
      <c r="D222" s="514"/>
      <c r="E222" s="517"/>
      <c r="F222" s="506"/>
      <c r="G222" s="518"/>
      <c r="H222" s="196"/>
      <c r="I222" s="158"/>
    </row>
    <row r="223" spans="1:9" s="159" customFormat="1" ht="12">
      <c r="A223" s="514"/>
      <c r="B223" s="500" t="s">
        <v>128</v>
      </c>
      <c r="C223" s="415">
        <f>(4.58+4.37)*2*2.91</f>
        <v>52.089</v>
      </c>
      <c r="D223" s="514"/>
      <c r="E223" s="517"/>
      <c r="F223" s="506"/>
      <c r="G223" s="518"/>
      <c r="H223" s="196"/>
      <c r="I223" s="158"/>
    </row>
    <row r="224" spans="1:9" s="159" customFormat="1" ht="12">
      <c r="A224" s="514"/>
      <c r="B224" s="515" t="s">
        <v>1293</v>
      </c>
      <c r="C224" s="516">
        <f>(1.42+0.6+0.18+0.35+0.25+0.9+1.42)*1+(2.8+3.48+2.8)*2.91</f>
        <v>31.542799999999996</v>
      </c>
      <c r="D224" s="514"/>
      <c r="E224" s="517"/>
      <c r="F224" s="506"/>
      <c r="G224" s="518"/>
      <c r="H224" s="196"/>
      <c r="I224" s="158"/>
    </row>
    <row r="225" spans="1:9" s="159" customFormat="1" ht="12">
      <c r="A225" s="514"/>
      <c r="B225" s="515" t="s">
        <v>1294</v>
      </c>
      <c r="C225" s="516">
        <f>(6.35+4.245)*2*1</f>
        <v>21.189999999999998</v>
      </c>
      <c r="D225" s="514"/>
      <c r="E225" s="517"/>
      <c r="F225" s="506"/>
      <c r="G225" s="518"/>
      <c r="H225" s="196"/>
      <c r="I225" s="158"/>
    </row>
    <row r="226" spans="1:9" s="159" customFormat="1" ht="12">
      <c r="A226" s="514"/>
      <c r="B226" s="515"/>
      <c r="C226" s="516">
        <f>(4.955+1.41)*2*1</f>
        <v>12.73</v>
      </c>
      <c r="D226" s="514"/>
      <c r="E226" s="517"/>
      <c r="F226" s="506"/>
      <c r="G226" s="518"/>
      <c r="H226" s="196"/>
      <c r="I226" s="158"/>
    </row>
    <row r="227" spans="1:9" s="159" customFormat="1" ht="12">
      <c r="A227" s="514"/>
      <c r="B227" s="515" t="s">
        <v>1295</v>
      </c>
      <c r="C227" s="516">
        <f>(1.43+1.41)*2*1</f>
        <v>5.68</v>
      </c>
      <c r="D227" s="514"/>
      <c r="E227" s="517"/>
      <c r="F227" s="506"/>
      <c r="G227" s="518"/>
      <c r="H227" s="196"/>
      <c r="I227" s="158"/>
    </row>
    <row r="228" spans="1:9" s="159" customFormat="1" ht="12">
      <c r="A228" s="514"/>
      <c r="B228" s="515"/>
      <c r="C228" s="516">
        <f>(2.45+2.75)*2*1</f>
        <v>10.4</v>
      </c>
      <c r="D228" s="514"/>
      <c r="E228" s="517"/>
      <c r="F228" s="506"/>
      <c r="G228" s="518"/>
      <c r="H228" s="196"/>
      <c r="I228" s="158"/>
    </row>
    <row r="229" spans="1:9" s="159" customFormat="1" ht="12">
      <c r="A229" s="514"/>
      <c r="B229" s="515"/>
      <c r="C229" s="516">
        <f>(2.88+2.29)*2*1</f>
        <v>10.34</v>
      </c>
      <c r="D229" s="514"/>
      <c r="E229" s="517"/>
      <c r="F229" s="506"/>
      <c r="G229" s="518"/>
      <c r="H229" s="196"/>
      <c r="I229" s="158"/>
    </row>
    <row r="230" spans="1:9" s="159" customFormat="1" ht="12">
      <c r="A230" s="514"/>
      <c r="B230" s="515" t="s">
        <v>1306</v>
      </c>
      <c r="C230" s="516">
        <f>(2.43+4.38)*2*1</f>
        <v>13.620000000000001</v>
      </c>
      <c r="D230" s="514"/>
      <c r="E230" s="517"/>
      <c r="F230" s="506"/>
      <c r="G230" s="518"/>
      <c r="H230" s="196"/>
      <c r="I230" s="158"/>
    </row>
    <row r="231" spans="1:9" s="159" customFormat="1" ht="12">
      <c r="A231" s="514"/>
      <c r="B231" s="515" t="s">
        <v>1316</v>
      </c>
      <c r="C231" s="516">
        <f>(3.9+2.57+3.9)*1</f>
        <v>10.37</v>
      </c>
      <c r="D231" s="514"/>
      <c r="E231" s="517"/>
      <c r="F231" s="506"/>
      <c r="G231" s="518"/>
      <c r="H231" s="196"/>
      <c r="I231" s="158"/>
    </row>
    <row r="232" spans="1:9" s="159" customFormat="1" ht="12">
      <c r="A232" s="514"/>
      <c r="B232" s="515" t="s">
        <v>1301</v>
      </c>
      <c r="C232" s="516">
        <f>(3.1+3.05)*2*1</f>
        <v>12.3</v>
      </c>
      <c r="D232" s="514"/>
      <c r="E232" s="517"/>
      <c r="F232" s="506"/>
      <c r="G232" s="518"/>
      <c r="H232" s="196"/>
      <c r="I232" s="158"/>
    </row>
    <row r="233" spans="1:9" ht="12">
      <c r="A233" s="402"/>
      <c r="B233" s="425"/>
      <c r="C233" s="520">
        <f>SUM(C221:C232)</f>
        <v>361.58459999999997</v>
      </c>
      <c r="D233" s="403"/>
      <c r="E233" s="405"/>
      <c r="F233" s="405"/>
      <c r="G233" s="406"/>
      <c r="I233" s="158"/>
    </row>
    <row r="234" spans="1:9" s="159" customFormat="1" ht="12">
      <c r="A234" s="514" t="s">
        <v>342</v>
      </c>
      <c r="B234" s="514" t="s">
        <v>473</v>
      </c>
      <c r="C234" s="516" t="s">
        <v>474</v>
      </c>
      <c r="D234" s="514" t="s">
        <v>93</v>
      </c>
      <c r="E234" s="517">
        <v>191.18</v>
      </c>
      <c r="F234" s="506">
        <v>0</v>
      </c>
      <c r="G234" s="518">
        <f>E234*F234</f>
        <v>0</v>
      </c>
      <c r="H234" s="196"/>
      <c r="I234" s="158"/>
    </row>
    <row r="235" spans="1:9" s="159" customFormat="1" ht="12">
      <c r="A235" s="514"/>
      <c r="B235" s="515" t="s">
        <v>261</v>
      </c>
      <c r="C235" s="516">
        <f>((2.42+2.28)*2+(0.9*2))*2.1-(0.7*1.97+0.6*0.9)+(0.6+0.9+0.9)*0.5</f>
        <v>22.801</v>
      </c>
      <c r="D235" s="514"/>
      <c r="E235" s="517"/>
      <c r="F235" s="506"/>
      <c r="G235" s="518"/>
      <c r="H235" s="196"/>
      <c r="I235" s="158"/>
    </row>
    <row r="236" spans="1:9" s="159" customFormat="1" ht="12">
      <c r="A236" s="514"/>
      <c r="B236" s="515" t="s">
        <v>1293</v>
      </c>
      <c r="C236" s="516">
        <f>(1.42+0.6+0.18+0.35+0.25+0.9+1.42)*2.1-(1.8*2)</f>
        <v>7.152000000000001</v>
      </c>
      <c r="D236" s="514"/>
      <c r="E236" s="517"/>
      <c r="F236" s="506"/>
      <c r="G236" s="518"/>
      <c r="H236" s="196"/>
      <c r="I236" s="158"/>
    </row>
    <row r="237" spans="1:9" s="159" customFormat="1" ht="12">
      <c r="A237" s="514"/>
      <c r="B237" s="515" t="s">
        <v>1294</v>
      </c>
      <c r="C237" s="516">
        <f>(6.35+4.245)*2*2.1-(1.8*2.1+1.15*2.75*2+0.8*1.97*2)+(1+2.1+2.1)*0.35</f>
        <v>33.06199999999999</v>
      </c>
      <c r="D237" s="514"/>
      <c r="E237" s="517"/>
      <c r="F237" s="506"/>
      <c r="G237" s="518"/>
      <c r="H237" s="196"/>
      <c r="I237" s="158"/>
    </row>
    <row r="238" spans="1:9" s="159" customFormat="1" ht="12">
      <c r="A238" s="514"/>
      <c r="B238" s="515"/>
      <c r="C238" s="516">
        <f>(4.955+1.41)*2*2.1-(1.15*2.75)*2-(1.2*1.5+2.1*1.5)+(1.15+2.75*2)*2*0.75</f>
        <v>25.433000000000003</v>
      </c>
      <c r="D238" s="514"/>
      <c r="E238" s="517"/>
      <c r="F238" s="506"/>
      <c r="G238" s="518"/>
      <c r="H238" s="196"/>
      <c r="I238" s="158"/>
    </row>
    <row r="239" spans="1:9" s="159" customFormat="1" ht="12">
      <c r="A239" s="514"/>
      <c r="B239" s="515"/>
      <c r="C239" s="516">
        <f>(1.2+1.5*2)*0.35+(2.1+1.5*2)*0.35</f>
        <v>3.255</v>
      </c>
      <c r="D239" s="514"/>
      <c r="E239" s="517"/>
      <c r="F239" s="506"/>
      <c r="G239" s="518"/>
      <c r="H239" s="196"/>
      <c r="I239" s="158"/>
    </row>
    <row r="240" spans="1:9" s="159" customFormat="1" ht="12">
      <c r="A240" s="514"/>
      <c r="B240" s="515" t="s">
        <v>1295</v>
      </c>
      <c r="C240" s="516">
        <f>(1.43+1.41)*2*2.1-(1*2.2+1.15*2.1)+(1+2.2*2)*0.4+(1.15+2.1*2)*0.75</f>
        <v>13.485499999999998</v>
      </c>
      <c r="D240" s="514"/>
      <c r="E240" s="517"/>
      <c r="F240" s="506"/>
      <c r="G240" s="518"/>
      <c r="H240" s="196"/>
      <c r="I240" s="158"/>
    </row>
    <row r="241" spans="1:9" s="159" customFormat="1" ht="12">
      <c r="A241" s="514"/>
      <c r="B241" s="515"/>
      <c r="C241" s="516">
        <f>(2.45+2.75)*2*2.1-(1.15*2.1)*3-(0.8*1.97)+(1+2.1*2)*0.35</f>
        <v>14.839000000000002</v>
      </c>
      <c r="D241" s="514"/>
      <c r="E241" s="517"/>
      <c r="F241" s="506"/>
      <c r="G241" s="518"/>
      <c r="H241" s="196"/>
      <c r="I241" s="158"/>
    </row>
    <row r="242" spans="1:9" s="159" customFormat="1" ht="12">
      <c r="A242" s="514"/>
      <c r="B242" s="515"/>
      <c r="C242" s="516">
        <f>(2.88+2.29)*2*2.1-(0.8*1.97)*5+(1.15+2.1*2)*0.35</f>
        <v>15.706500000000002</v>
      </c>
      <c r="D242" s="514"/>
      <c r="E242" s="517"/>
      <c r="F242" s="506"/>
      <c r="G242" s="518"/>
      <c r="H242" s="196"/>
      <c r="I242" s="158"/>
    </row>
    <row r="243" spans="1:9" s="159" customFormat="1" ht="12">
      <c r="A243" s="514"/>
      <c r="B243" s="515" t="s">
        <v>1306</v>
      </c>
      <c r="C243" s="516">
        <f>(2.4+1.92+2.4)*2.1-(0.9*1.4)+(0.9+1.4*2)*0.35</f>
        <v>14.147000000000002</v>
      </c>
      <c r="D243" s="514"/>
      <c r="E243" s="517"/>
      <c r="F243" s="506"/>
      <c r="G243" s="518"/>
      <c r="H243" s="196"/>
      <c r="I243" s="158"/>
    </row>
    <row r="244" spans="1:9" s="159" customFormat="1" ht="12">
      <c r="A244" s="514"/>
      <c r="B244" s="515" t="s">
        <v>1302</v>
      </c>
      <c r="C244" s="516">
        <f>(3.9+2.57+3.9)*2.1-(0.8*1.97)</f>
        <v>20.201</v>
      </c>
      <c r="D244" s="514"/>
      <c r="E244" s="517"/>
      <c r="F244" s="506"/>
      <c r="G244" s="518"/>
      <c r="H244" s="196"/>
      <c r="I244" s="158"/>
    </row>
    <row r="245" spans="1:9" s="159" customFormat="1" ht="12">
      <c r="A245" s="514"/>
      <c r="B245" s="515" t="s">
        <v>1301</v>
      </c>
      <c r="C245" s="516">
        <f>(3.1+3.05)*2*2.1-(0.8*1.97*3)</f>
        <v>21.102000000000004</v>
      </c>
      <c r="D245" s="514"/>
      <c r="E245" s="517"/>
      <c r="F245" s="506"/>
      <c r="G245" s="518"/>
      <c r="H245" s="196"/>
      <c r="I245" s="158"/>
    </row>
    <row r="246" spans="1:9" s="159" customFormat="1" ht="12">
      <c r="A246" s="514"/>
      <c r="B246" s="534"/>
      <c r="C246" s="516">
        <f>SUM(C235:C245)</f>
        <v>191.18399999999997</v>
      </c>
      <c r="D246" s="514"/>
      <c r="E246" s="517"/>
      <c r="F246" s="506"/>
      <c r="G246" s="518"/>
      <c r="H246" s="196"/>
      <c r="I246" s="158"/>
    </row>
    <row r="247" spans="1:9" s="159" customFormat="1" ht="12">
      <c r="A247" s="514"/>
      <c r="B247" s="534"/>
      <c r="C247" s="516"/>
      <c r="D247" s="514"/>
      <c r="E247" s="517"/>
      <c r="F247" s="506"/>
      <c r="G247" s="518"/>
      <c r="H247" s="196"/>
      <c r="I247" s="158"/>
    </row>
    <row r="248" spans="1:9" s="159" customFormat="1" ht="12">
      <c r="A248" s="514" t="s">
        <v>345</v>
      </c>
      <c r="B248" s="514" t="s">
        <v>476</v>
      </c>
      <c r="C248" s="516" t="s">
        <v>477</v>
      </c>
      <c r="D248" s="514" t="s">
        <v>93</v>
      </c>
      <c r="E248" s="517">
        <v>191.18</v>
      </c>
      <c r="F248" s="506">
        <v>0</v>
      </c>
      <c r="G248" s="518">
        <f>E248*F248</f>
        <v>0</v>
      </c>
      <c r="H248" s="158"/>
      <c r="I248" s="158"/>
    </row>
    <row r="249" spans="1:9" s="159" customFormat="1" ht="12">
      <c r="A249" s="514"/>
      <c r="B249" s="514"/>
      <c r="C249" s="516" t="s">
        <v>1317</v>
      </c>
      <c r="D249" s="514"/>
      <c r="E249" s="517"/>
      <c r="F249" s="506"/>
      <c r="G249" s="518"/>
      <c r="H249" s="158"/>
      <c r="I249" s="158"/>
    </row>
    <row r="250" spans="1:7" ht="12">
      <c r="A250" s="402"/>
      <c r="B250" s="508"/>
      <c r="C250" s="415"/>
      <c r="D250" s="402"/>
      <c r="E250" s="528"/>
      <c r="F250" s="507"/>
      <c r="G250" s="511"/>
    </row>
    <row r="251" spans="1:8" ht="12">
      <c r="A251" s="402" t="s">
        <v>349</v>
      </c>
      <c r="B251" s="402" t="s">
        <v>479</v>
      </c>
      <c r="C251" s="415" t="s">
        <v>480</v>
      </c>
      <c r="D251" s="402" t="s">
        <v>93</v>
      </c>
      <c r="E251" s="528">
        <v>18.04</v>
      </c>
      <c r="F251" s="507">
        <v>0</v>
      </c>
      <c r="G251" s="511">
        <f>E251*F251</f>
        <v>0</v>
      </c>
      <c r="H251" s="151"/>
    </row>
    <row r="252" spans="1:7" ht="12">
      <c r="A252" s="402"/>
      <c r="B252" s="509" t="s">
        <v>1301</v>
      </c>
      <c r="C252" s="415">
        <f>(3+3.2)*2.91</f>
        <v>18.042</v>
      </c>
      <c r="D252" s="402"/>
      <c r="E252" s="528"/>
      <c r="F252" s="507"/>
      <c r="G252" s="511"/>
    </row>
    <row r="253" spans="1:8" ht="12">
      <c r="A253" s="402" t="s">
        <v>352</v>
      </c>
      <c r="B253" s="402" t="s">
        <v>482</v>
      </c>
      <c r="C253" s="415" t="s">
        <v>483</v>
      </c>
      <c r="D253" s="402" t="s">
        <v>93</v>
      </c>
      <c r="E253" s="528">
        <v>18.04</v>
      </c>
      <c r="F253" s="507">
        <v>0</v>
      </c>
      <c r="G253" s="511">
        <f>E253*F253</f>
        <v>0</v>
      </c>
      <c r="H253" s="151"/>
    </row>
    <row r="254" spans="1:9" s="159" customFormat="1" ht="12">
      <c r="A254" s="514"/>
      <c r="B254" s="534"/>
      <c r="C254" s="516"/>
      <c r="D254" s="514"/>
      <c r="E254" s="517"/>
      <c r="F254" s="506"/>
      <c r="G254" s="518"/>
      <c r="H254" s="196"/>
      <c r="I254" s="158"/>
    </row>
    <row r="255" spans="1:9" ht="12">
      <c r="A255" s="402" t="s">
        <v>355</v>
      </c>
      <c r="B255" s="513" t="s">
        <v>441</v>
      </c>
      <c r="C255" s="512" t="s">
        <v>442</v>
      </c>
      <c r="D255" s="504" t="s">
        <v>93</v>
      </c>
      <c r="E255" s="511">
        <v>3.15</v>
      </c>
      <c r="F255" s="507">
        <v>0</v>
      </c>
      <c r="G255" s="511">
        <f>E255*F255</f>
        <v>0</v>
      </c>
      <c r="I255" s="158"/>
    </row>
    <row r="256" spans="1:9" s="159" customFormat="1" ht="12">
      <c r="A256" s="514"/>
      <c r="B256" s="535"/>
      <c r="C256" s="516" t="s">
        <v>520</v>
      </c>
      <c r="D256" s="514"/>
      <c r="E256" s="517"/>
      <c r="F256" s="506"/>
      <c r="G256" s="518"/>
      <c r="H256" s="158"/>
      <c r="I256" s="158"/>
    </row>
    <row r="257" spans="1:9" ht="12">
      <c r="A257" s="402"/>
      <c r="B257" s="513"/>
      <c r="C257" s="512">
        <f>(0.15*2.1)*5*2</f>
        <v>3.15</v>
      </c>
      <c r="D257" s="504"/>
      <c r="E257" s="511"/>
      <c r="F257" s="507"/>
      <c r="G257" s="511"/>
      <c r="I257" s="158"/>
    </row>
    <row r="258" spans="1:9" ht="12">
      <c r="A258" s="402" t="s">
        <v>360</v>
      </c>
      <c r="B258" s="504" t="s">
        <v>1285</v>
      </c>
      <c r="C258" s="415" t="s">
        <v>1286</v>
      </c>
      <c r="D258" s="402" t="s">
        <v>83</v>
      </c>
      <c r="E258" s="528">
        <v>1</v>
      </c>
      <c r="F258" s="507">
        <v>0</v>
      </c>
      <c r="G258" s="511">
        <f aca="true" t="shared" si="0" ref="G258:G267">E258*F258</f>
        <v>0</v>
      </c>
      <c r="I258" s="158"/>
    </row>
    <row r="259" spans="1:9" ht="12">
      <c r="A259" s="402" t="s">
        <v>371</v>
      </c>
      <c r="B259" s="402" t="s">
        <v>1287</v>
      </c>
      <c r="C259" s="415" t="s">
        <v>1288</v>
      </c>
      <c r="D259" s="402" t="s">
        <v>83</v>
      </c>
      <c r="E259" s="528">
        <v>18</v>
      </c>
      <c r="F259" s="507">
        <v>0</v>
      </c>
      <c r="G259" s="511">
        <f t="shared" si="0"/>
        <v>0</v>
      </c>
      <c r="I259" s="158"/>
    </row>
    <row r="260" spans="1:9" s="159" customFormat="1" ht="12">
      <c r="A260" s="402" t="s">
        <v>376</v>
      </c>
      <c r="B260" s="514" t="s">
        <v>511</v>
      </c>
      <c r="C260" s="516" t="s">
        <v>1289</v>
      </c>
      <c r="D260" s="514" t="s">
        <v>83</v>
      </c>
      <c r="E260" s="517">
        <v>12</v>
      </c>
      <c r="F260" s="506">
        <v>0</v>
      </c>
      <c r="G260" s="518">
        <f t="shared" si="0"/>
        <v>0</v>
      </c>
      <c r="H260" s="196"/>
      <c r="I260" s="158"/>
    </row>
    <row r="261" spans="1:7" ht="12">
      <c r="A261" s="402" t="s">
        <v>382</v>
      </c>
      <c r="B261" s="402" t="s">
        <v>522</v>
      </c>
      <c r="C261" s="402" t="s">
        <v>523</v>
      </c>
      <c r="D261" s="402" t="s">
        <v>358</v>
      </c>
      <c r="E261" s="528">
        <v>46.47</v>
      </c>
      <c r="F261" s="507">
        <v>0</v>
      </c>
      <c r="G261" s="511">
        <f t="shared" si="0"/>
        <v>0</v>
      </c>
    </row>
    <row r="262" spans="1:7" ht="12">
      <c r="A262" s="402" t="s">
        <v>387</v>
      </c>
      <c r="B262" s="402" t="s">
        <v>525</v>
      </c>
      <c r="C262" s="402" t="s">
        <v>526</v>
      </c>
      <c r="D262" s="402" t="s">
        <v>358</v>
      </c>
      <c r="E262" s="528">
        <v>46.47</v>
      </c>
      <c r="F262" s="507">
        <v>0</v>
      </c>
      <c r="G262" s="511">
        <f t="shared" si="0"/>
        <v>0</v>
      </c>
    </row>
    <row r="263" spans="1:9" s="159" customFormat="1" ht="15.75" customHeight="1">
      <c r="A263" s="402" t="s">
        <v>390</v>
      </c>
      <c r="B263" s="514" t="s">
        <v>528</v>
      </c>
      <c r="C263" s="514" t="s">
        <v>529</v>
      </c>
      <c r="D263" s="514" t="s">
        <v>358</v>
      </c>
      <c r="E263" s="517">
        <v>46.47</v>
      </c>
      <c r="F263" s="506">
        <v>0</v>
      </c>
      <c r="G263" s="518">
        <f t="shared" si="0"/>
        <v>0</v>
      </c>
      <c r="H263" s="158"/>
      <c r="I263" s="158"/>
    </row>
    <row r="264" spans="1:9" s="159" customFormat="1" ht="12">
      <c r="A264" s="402" t="s">
        <v>394</v>
      </c>
      <c r="B264" s="514" t="s">
        <v>531</v>
      </c>
      <c r="C264" s="514" t="s">
        <v>532</v>
      </c>
      <c r="D264" s="514" t="s">
        <v>358</v>
      </c>
      <c r="E264" s="517">
        <v>46.47</v>
      </c>
      <c r="F264" s="506">
        <v>0</v>
      </c>
      <c r="G264" s="518">
        <f t="shared" si="0"/>
        <v>0</v>
      </c>
      <c r="H264" s="158"/>
      <c r="I264" s="158"/>
    </row>
    <row r="265" spans="1:7" ht="13.5" customHeight="1">
      <c r="A265" s="402" t="s">
        <v>403</v>
      </c>
      <c r="B265" s="402" t="s">
        <v>534</v>
      </c>
      <c r="C265" s="402" t="s">
        <v>535</v>
      </c>
      <c r="D265" s="402" t="s">
        <v>358</v>
      </c>
      <c r="E265" s="528">
        <v>46.47</v>
      </c>
      <c r="F265" s="507">
        <v>0</v>
      </c>
      <c r="G265" s="511">
        <f t="shared" si="0"/>
        <v>0</v>
      </c>
    </row>
    <row r="266" spans="1:7" ht="12">
      <c r="A266" s="402" t="s">
        <v>410</v>
      </c>
      <c r="B266" s="402" t="s">
        <v>537</v>
      </c>
      <c r="C266" s="402" t="s">
        <v>538</v>
      </c>
      <c r="D266" s="402" t="s">
        <v>358</v>
      </c>
      <c r="E266" s="528">
        <v>46.47</v>
      </c>
      <c r="F266" s="507">
        <v>0</v>
      </c>
      <c r="G266" s="511">
        <f t="shared" si="0"/>
        <v>0</v>
      </c>
    </row>
    <row r="267" spans="1:7" ht="12.75" thickBot="1">
      <c r="A267" s="584" t="s">
        <v>413</v>
      </c>
      <c r="B267" s="584" t="s">
        <v>540</v>
      </c>
      <c r="C267" s="586" t="s">
        <v>541</v>
      </c>
      <c r="D267" s="584" t="s">
        <v>358</v>
      </c>
      <c r="E267" s="595">
        <v>46.47</v>
      </c>
      <c r="F267" s="596">
        <v>0</v>
      </c>
      <c r="G267" s="597">
        <f t="shared" si="0"/>
        <v>0</v>
      </c>
    </row>
    <row r="268" spans="1:7" ht="12.75" thickTop="1">
      <c r="A268" s="579"/>
      <c r="B268" s="589"/>
      <c r="C268" s="581" t="s">
        <v>160</v>
      </c>
      <c r="D268" s="589"/>
      <c r="E268" s="590"/>
      <c r="F268" s="590"/>
      <c r="G268" s="583">
        <f>SUM(G157:G267)</f>
        <v>0</v>
      </c>
    </row>
    <row r="269" spans="1:7" ht="12">
      <c r="A269" s="402"/>
      <c r="B269" s="496" t="s">
        <v>542</v>
      </c>
      <c r="C269" s="501" t="s">
        <v>21</v>
      </c>
      <c r="D269" s="496"/>
      <c r="E269" s="502"/>
      <c r="F269" s="502"/>
      <c r="G269" s="503"/>
    </row>
    <row r="270" spans="1:7" ht="12">
      <c r="A270" s="402" t="s">
        <v>416</v>
      </c>
      <c r="B270" s="403" t="s">
        <v>1335</v>
      </c>
      <c r="C270" s="404" t="s">
        <v>1336</v>
      </c>
      <c r="D270" s="403" t="s">
        <v>93</v>
      </c>
      <c r="E270" s="405">
        <v>6.9</v>
      </c>
      <c r="F270" s="405">
        <v>0</v>
      </c>
      <c r="G270" s="406">
        <f>E270*F270</f>
        <v>0</v>
      </c>
    </row>
    <row r="271" spans="1:7" ht="12">
      <c r="A271" s="402"/>
      <c r="B271" s="425"/>
      <c r="C271" s="404">
        <f>(8+2)*0.6*1.15</f>
        <v>6.8999999999999995</v>
      </c>
      <c r="D271" s="403"/>
      <c r="E271" s="405"/>
      <c r="F271" s="405"/>
      <c r="G271" s="406"/>
    </row>
    <row r="272" spans="1:7" ht="12">
      <c r="A272" s="402" t="s">
        <v>419</v>
      </c>
      <c r="B272" s="504" t="s">
        <v>553</v>
      </c>
      <c r="C272" s="404" t="s">
        <v>554</v>
      </c>
      <c r="D272" s="403" t="s">
        <v>555</v>
      </c>
      <c r="E272" s="405">
        <f>SUM(G270:G271)/100</f>
        <v>0</v>
      </c>
      <c r="F272" s="405">
        <v>8</v>
      </c>
      <c r="G272" s="406">
        <f>ROUND(PRODUCT(E272*F272),0)</f>
        <v>0</v>
      </c>
    </row>
    <row r="273" spans="1:7" ht="12.75" thickBot="1">
      <c r="A273" s="584" t="s">
        <v>422</v>
      </c>
      <c r="B273" s="598" t="s">
        <v>553</v>
      </c>
      <c r="C273" s="593" t="s">
        <v>557</v>
      </c>
      <c r="D273" s="591" t="s">
        <v>555</v>
      </c>
      <c r="E273" s="594">
        <f>SUM(G270:G271)/100</f>
        <v>0</v>
      </c>
      <c r="F273" s="594">
        <v>2</v>
      </c>
      <c r="G273" s="588">
        <f>ROUND(PRODUCT(E273*F273),0)</f>
        <v>0</v>
      </c>
    </row>
    <row r="274" spans="1:7" ht="12.75" thickTop="1">
      <c r="A274" s="579"/>
      <c r="B274" s="589"/>
      <c r="C274" s="581" t="s">
        <v>160</v>
      </c>
      <c r="D274" s="589"/>
      <c r="E274" s="590"/>
      <c r="F274" s="590"/>
      <c r="G274" s="583">
        <f>SUM(G270:G273)</f>
        <v>0</v>
      </c>
    </row>
    <row r="275" spans="1:7" ht="12">
      <c r="A275" s="402"/>
      <c r="B275" s="536" t="s">
        <v>565</v>
      </c>
      <c r="C275" s="537" t="s">
        <v>23</v>
      </c>
      <c r="D275" s="496"/>
      <c r="E275" s="502"/>
      <c r="F275" s="502"/>
      <c r="G275" s="503"/>
    </row>
    <row r="276" spans="1:80" s="276" customFormat="1" ht="12">
      <c r="A276" s="538" t="s">
        <v>426</v>
      </c>
      <c r="B276" s="539" t="s">
        <v>567</v>
      </c>
      <c r="C276" s="540" t="s">
        <v>568</v>
      </c>
      <c r="D276" s="541" t="s">
        <v>157</v>
      </c>
      <c r="E276" s="542">
        <v>3.7</v>
      </c>
      <c r="F276" s="542">
        <v>0</v>
      </c>
      <c r="G276" s="543">
        <f aca="true" t="shared" si="1" ref="G276:G286">E276*F276</f>
        <v>0</v>
      </c>
      <c r="H276" s="275"/>
      <c r="I276" s="275"/>
      <c r="J276" s="275"/>
      <c r="K276" s="275"/>
      <c r="BB276" s="276">
        <v>2</v>
      </c>
      <c r="BC276" s="276">
        <f aca="true" t="shared" si="2" ref="BC276:BC285">IF(BB276=1,G276,0)</f>
        <v>0</v>
      </c>
      <c r="BD276" s="277">
        <f aca="true" t="shared" si="3" ref="BD276:BD285">IF(BB276=2,G276,0)</f>
        <v>0</v>
      </c>
      <c r="BE276" s="276">
        <f aca="true" t="shared" si="4" ref="BE276:BE285">IF(BB276=3,G276,0)</f>
        <v>0</v>
      </c>
      <c r="BF276" s="276">
        <f aca="true" t="shared" si="5" ref="BF276:BF285">IF(BB276=4,G276,0)</f>
        <v>0</v>
      </c>
      <c r="BG276" s="276">
        <f aca="true" t="shared" si="6" ref="BG276:BG285">IF(BB276=5,G276,0)</f>
        <v>0</v>
      </c>
      <c r="CA276" s="276">
        <v>1</v>
      </c>
      <c r="CB276" s="276">
        <v>7</v>
      </c>
    </row>
    <row r="277" spans="1:80" s="276" customFormat="1" ht="12">
      <c r="A277" s="538" t="s">
        <v>429</v>
      </c>
      <c r="B277" s="539" t="s">
        <v>570</v>
      </c>
      <c r="C277" s="540" t="s">
        <v>571</v>
      </c>
      <c r="D277" s="541" t="s">
        <v>157</v>
      </c>
      <c r="E277" s="542">
        <v>7.5</v>
      </c>
      <c r="F277" s="542">
        <v>0</v>
      </c>
      <c r="G277" s="543">
        <f t="shared" si="1"/>
        <v>0</v>
      </c>
      <c r="H277" s="275"/>
      <c r="I277" s="275"/>
      <c r="J277" s="275"/>
      <c r="K277" s="275"/>
      <c r="BB277" s="276">
        <v>2</v>
      </c>
      <c r="BC277" s="276">
        <f t="shared" si="2"/>
        <v>0</v>
      </c>
      <c r="BD277" s="277">
        <f t="shared" si="3"/>
        <v>0</v>
      </c>
      <c r="BE277" s="276">
        <f t="shared" si="4"/>
        <v>0</v>
      </c>
      <c r="BF277" s="276">
        <f t="shared" si="5"/>
        <v>0</v>
      </c>
      <c r="BG277" s="276">
        <f t="shared" si="6"/>
        <v>0</v>
      </c>
      <c r="CA277" s="276">
        <v>1</v>
      </c>
      <c r="CB277" s="276">
        <v>7</v>
      </c>
    </row>
    <row r="278" spans="1:80" s="276" customFormat="1" ht="12">
      <c r="A278" s="538" t="s">
        <v>432</v>
      </c>
      <c r="B278" s="539" t="s">
        <v>573</v>
      </c>
      <c r="C278" s="540" t="s">
        <v>574</v>
      </c>
      <c r="D278" s="541" t="s">
        <v>157</v>
      </c>
      <c r="E278" s="542">
        <v>6.9</v>
      </c>
      <c r="F278" s="542">
        <v>0</v>
      </c>
      <c r="G278" s="543">
        <f t="shared" si="1"/>
        <v>0</v>
      </c>
      <c r="H278" s="275"/>
      <c r="I278" s="275"/>
      <c r="J278" s="275"/>
      <c r="K278" s="275"/>
      <c r="BB278" s="276">
        <v>2</v>
      </c>
      <c r="BC278" s="276">
        <f t="shared" si="2"/>
        <v>0</v>
      </c>
      <c r="BD278" s="277">
        <f t="shared" si="3"/>
        <v>0</v>
      </c>
      <c r="BE278" s="276">
        <f t="shared" si="4"/>
        <v>0</v>
      </c>
      <c r="BF278" s="276">
        <f t="shared" si="5"/>
        <v>0</v>
      </c>
      <c r="BG278" s="276">
        <f t="shared" si="6"/>
        <v>0</v>
      </c>
      <c r="CA278" s="276">
        <v>1</v>
      </c>
      <c r="CB278" s="276">
        <v>7</v>
      </c>
    </row>
    <row r="279" spans="1:80" s="276" customFormat="1" ht="12">
      <c r="A279" s="538" t="s">
        <v>436</v>
      </c>
      <c r="B279" s="539" t="s">
        <v>1323</v>
      </c>
      <c r="C279" s="540" t="s">
        <v>1324</v>
      </c>
      <c r="D279" s="541" t="s">
        <v>157</v>
      </c>
      <c r="E279" s="542">
        <v>10.7</v>
      </c>
      <c r="F279" s="542">
        <v>0</v>
      </c>
      <c r="G279" s="543">
        <f>E279*F279</f>
        <v>0</v>
      </c>
      <c r="H279" s="275"/>
      <c r="I279" s="275"/>
      <c r="J279" s="275"/>
      <c r="K279" s="275"/>
      <c r="BB279" s="276">
        <v>2</v>
      </c>
      <c r="BC279" s="276">
        <f>IF(BB279=1,G279,0)</f>
        <v>0</v>
      </c>
      <c r="BD279" s="277">
        <f>IF(BB279=2,G279,0)</f>
        <v>0</v>
      </c>
      <c r="BE279" s="276">
        <f>IF(BB279=3,G279,0)</f>
        <v>0</v>
      </c>
      <c r="BF279" s="276">
        <f>IF(BB279=4,G279,0)</f>
        <v>0</v>
      </c>
      <c r="BG279" s="276">
        <f>IF(BB279=5,G279,0)</f>
        <v>0</v>
      </c>
      <c r="CA279" s="276">
        <v>1</v>
      </c>
      <c r="CB279" s="276">
        <v>7</v>
      </c>
    </row>
    <row r="280" spans="1:80" s="276" customFormat="1" ht="12">
      <c r="A280" s="538" t="s">
        <v>440</v>
      </c>
      <c r="B280" s="539" t="s">
        <v>576</v>
      </c>
      <c r="C280" s="540" t="s">
        <v>577</v>
      </c>
      <c r="D280" s="541" t="s">
        <v>83</v>
      </c>
      <c r="E280" s="542">
        <v>2</v>
      </c>
      <c r="F280" s="542">
        <v>0</v>
      </c>
      <c r="G280" s="543">
        <f t="shared" si="1"/>
        <v>0</v>
      </c>
      <c r="H280" s="275"/>
      <c r="I280" s="275"/>
      <c r="J280" s="275"/>
      <c r="K280" s="275"/>
      <c r="BB280" s="276">
        <v>2</v>
      </c>
      <c r="BC280" s="276">
        <f t="shared" si="2"/>
        <v>0</v>
      </c>
      <c r="BD280" s="277">
        <f t="shared" si="3"/>
        <v>0</v>
      </c>
      <c r="BE280" s="276">
        <f t="shared" si="4"/>
        <v>0</v>
      </c>
      <c r="BF280" s="276">
        <f t="shared" si="5"/>
        <v>0</v>
      </c>
      <c r="BG280" s="276">
        <f t="shared" si="6"/>
        <v>0</v>
      </c>
      <c r="CA280" s="276">
        <v>1</v>
      </c>
      <c r="CB280" s="276">
        <v>7</v>
      </c>
    </row>
    <row r="281" spans="1:80" s="276" customFormat="1" ht="12">
      <c r="A281" s="538" t="s">
        <v>449</v>
      </c>
      <c r="B281" s="539" t="s">
        <v>576</v>
      </c>
      <c r="C281" s="540" t="s">
        <v>1325</v>
      </c>
      <c r="D281" s="541" t="s">
        <v>83</v>
      </c>
      <c r="E281" s="542">
        <v>2</v>
      </c>
      <c r="F281" s="542">
        <v>0</v>
      </c>
      <c r="G281" s="543">
        <f>E281*F281</f>
        <v>0</v>
      </c>
      <c r="H281" s="275"/>
      <c r="I281" s="275"/>
      <c r="J281" s="275"/>
      <c r="K281" s="275"/>
      <c r="BB281" s="276">
        <v>2</v>
      </c>
      <c r="BC281" s="276">
        <f>IF(BB281=1,G281,0)</f>
        <v>0</v>
      </c>
      <c r="BD281" s="277">
        <f>IF(BB281=2,G281,0)</f>
        <v>0</v>
      </c>
      <c r="BE281" s="276">
        <f>IF(BB281=3,G281,0)</f>
        <v>0</v>
      </c>
      <c r="BF281" s="276">
        <f>IF(BB281=4,G281,0)</f>
        <v>0</v>
      </c>
      <c r="BG281" s="276">
        <f>IF(BB281=5,G281,0)</f>
        <v>0</v>
      </c>
      <c r="CA281" s="276">
        <v>1</v>
      </c>
      <c r="CB281" s="276">
        <v>7</v>
      </c>
    </row>
    <row r="282" spans="1:80" s="276" customFormat="1" ht="12">
      <c r="A282" s="538" t="s">
        <v>452</v>
      </c>
      <c r="B282" s="539" t="s">
        <v>579</v>
      </c>
      <c r="C282" s="540" t="s">
        <v>580</v>
      </c>
      <c r="D282" s="541" t="s">
        <v>83</v>
      </c>
      <c r="E282" s="542">
        <v>4</v>
      </c>
      <c r="F282" s="542">
        <v>0</v>
      </c>
      <c r="G282" s="543">
        <f t="shared" si="1"/>
        <v>0</v>
      </c>
      <c r="H282" s="275"/>
      <c r="I282" s="275"/>
      <c r="J282" s="275"/>
      <c r="K282" s="275"/>
      <c r="BB282" s="276">
        <v>2</v>
      </c>
      <c r="BC282" s="276">
        <f t="shared" si="2"/>
        <v>0</v>
      </c>
      <c r="BD282" s="277">
        <f t="shared" si="3"/>
        <v>0</v>
      </c>
      <c r="BE282" s="276">
        <f t="shared" si="4"/>
        <v>0</v>
      </c>
      <c r="BF282" s="276">
        <f t="shared" si="5"/>
        <v>0</v>
      </c>
      <c r="BG282" s="276">
        <f t="shared" si="6"/>
        <v>0</v>
      </c>
      <c r="CA282" s="276">
        <v>1</v>
      </c>
      <c r="CB282" s="276">
        <v>7</v>
      </c>
    </row>
    <row r="283" spans="1:80" s="276" customFormat="1" ht="12">
      <c r="A283" s="538" t="s">
        <v>456</v>
      </c>
      <c r="B283" s="539" t="s">
        <v>1329</v>
      </c>
      <c r="C283" s="540" t="s">
        <v>1330</v>
      </c>
      <c r="D283" s="541" t="s">
        <v>157</v>
      </c>
      <c r="E283" s="542">
        <v>8</v>
      </c>
      <c r="F283" s="542">
        <v>0</v>
      </c>
      <c r="G283" s="543">
        <f>E283*F283</f>
        <v>0</v>
      </c>
      <c r="H283" s="275"/>
      <c r="I283" s="275"/>
      <c r="J283" s="275"/>
      <c r="K283" s="275"/>
      <c r="BB283" s="276">
        <v>2</v>
      </c>
      <c r="BC283" s="276">
        <f>IF(BB283=1,G283,0)</f>
        <v>0</v>
      </c>
      <c r="BD283" s="277">
        <f>IF(BB283=2,G283,0)</f>
        <v>0</v>
      </c>
      <c r="BE283" s="276">
        <f>IF(BB283=3,G283,0)</f>
        <v>0</v>
      </c>
      <c r="BF283" s="276">
        <f>IF(BB283=4,G283,0)</f>
        <v>0</v>
      </c>
      <c r="BG283" s="276">
        <f>IF(BB283=5,G283,0)</f>
        <v>0</v>
      </c>
      <c r="CA283" s="276">
        <v>1</v>
      </c>
      <c r="CB283" s="276">
        <v>7</v>
      </c>
    </row>
    <row r="284" spans="1:56" s="276" customFormat="1" ht="12">
      <c r="A284" s="538"/>
      <c r="B284" s="539"/>
      <c r="C284" s="544">
        <f>6.5+1.5</f>
        <v>8</v>
      </c>
      <c r="D284" s="541"/>
      <c r="E284" s="542"/>
      <c r="F284" s="542">
        <v>0</v>
      </c>
      <c r="G284" s="543"/>
      <c r="H284" s="275"/>
      <c r="I284" s="275"/>
      <c r="J284" s="275"/>
      <c r="K284" s="275"/>
      <c r="BD284" s="277"/>
    </row>
    <row r="285" spans="1:80" s="276" customFormat="1" ht="12">
      <c r="A285" s="538" t="s">
        <v>461</v>
      </c>
      <c r="B285" s="539" t="s">
        <v>582</v>
      </c>
      <c r="C285" s="540" t="s">
        <v>583</v>
      </c>
      <c r="D285" s="541" t="s">
        <v>157</v>
      </c>
      <c r="E285" s="542">
        <v>78</v>
      </c>
      <c r="F285" s="542">
        <v>0</v>
      </c>
      <c r="G285" s="543">
        <f t="shared" si="1"/>
        <v>0</v>
      </c>
      <c r="H285" s="275"/>
      <c r="I285" s="275"/>
      <c r="J285" s="275"/>
      <c r="K285" s="275"/>
      <c r="BB285" s="276">
        <v>2</v>
      </c>
      <c r="BC285" s="276">
        <f t="shared" si="2"/>
        <v>0</v>
      </c>
      <c r="BD285" s="277">
        <f t="shared" si="3"/>
        <v>0</v>
      </c>
      <c r="BE285" s="276">
        <f t="shared" si="4"/>
        <v>0</v>
      </c>
      <c r="BF285" s="276">
        <f t="shared" si="5"/>
        <v>0</v>
      </c>
      <c r="BG285" s="276">
        <f t="shared" si="6"/>
        <v>0</v>
      </c>
      <c r="CA285" s="276">
        <v>1</v>
      </c>
      <c r="CB285" s="276">
        <v>7</v>
      </c>
    </row>
    <row r="286" spans="1:80" s="276" customFormat="1" ht="12">
      <c r="A286" s="538" t="s">
        <v>464</v>
      </c>
      <c r="B286" s="539" t="s">
        <v>585</v>
      </c>
      <c r="C286" s="540" t="s">
        <v>586</v>
      </c>
      <c r="D286" s="541" t="s">
        <v>104</v>
      </c>
      <c r="E286" s="542">
        <v>4</v>
      </c>
      <c r="F286" s="542">
        <v>0</v>
      </c>
      <c r="G286" s="543">
        <f t="shared" si="1"/>
        <v>0</v>
      </c>
      <c r="H286" s="275"/>
      <c r="I286" s="275"/>
      <c r="J286" s="275"/>
      <c r="K286" s="275"/>
      <c r="AA286" s="108"/>
      <c r="AB286" s="108"/>
      <c r="AC286" s="108"/>
      <c r="BB286" s="108"/>
      <c r="BC286" s="108"/>
      <c r="BD286" s="108"/>
      <c r="BE286" s="108"/>
      <c r="BF286" s="108"/>
      <c r="BG286" s="108"/>
      <c r="CA286" s="108"/>
      <c r="CB286" s="108"/>
    </row>
    <row r="287" spans="1:80" s="276" customFormat="1" ht="12">
      <c r="A287" s="538" t="s">
        <v>467</v>
      </c>
      <c r="B287" s="539" t="s">
        <v>588</v>
      </c>
      <c r="C287" s="540" t="s">
        <v>589</v>
      </c>
      <c r="D287" s="545" t="s">
        <v>555</v>
      </c>
      <c r="E287" s="546">
        <f>SUM(G276:G286)/100</f>
        <v>0</v>
      </c>
      <c r="F287" s="546">
        <v>5</v>
      </c>
      <c r="G287" s="547">
        <f>ROUND((E287*F287),0)</f>
        <v>0</v>
      </c>
      <c r="H287" s="275"/>
      <c r="I287" s="275"/>
      <c r="J287" s="275"/>
      <c r="K287" s="275"/>
      <c r="BB287" s="276">
        <v>2</v>
      </c>
      <c r="BC287" s="276">
        <f>IF(BB287=1,G287,0)</f>
        <v>0</v>
      </c>
      <c r="BD287" s="277">
        <f>IF(BB287=2,G287,0)</f>
        <v>0</v>
      </c>
      <c r="BE287" s="276">
        <f>IF(BB287=3,G287,0)</f>
        <v>0</v>
      </c>
      <c r="BF287" s="276">
        <f>IF(BB287=4,G287,0)</f>
        <v>0</v>
      </c>
      <c r="BG287" s="276">
        <f>IF(BB287=5,G287,0)</f>
        <v>0</v>
      </c>
      <c r="CA287" s="276">
        <v>1</v>
      </c>
      <c r="CB287" s="276">
        <v>7</v>
      </c>
    </row>
    <row r="288" spans="1:7" ht="12.75" thickBot="1">
      <c r="A288" s="603" t="s">
        <v>469</v>
      </c>
      <c r="B288" s="604" t="s">
        <v>591</v>
      </c>
      <c r="C288" s="605" t="s">
        <v>592</v>
      </c>
      <c r="D288" s="606" t="s">
        <v>593</v>
      </c>
      <c r="E288" s="607">
        <v>20</v>
      </c>
      <c r="F288" s="607">
        <v>0</v>
      </c>
      <c r="G288" s="608">
        <f>E288*F288</f>
        <v>0</v>
      </c>
    </row>
    <row r="289" spans="1:7" ht="12.75" thickTop="1">
      <c r="A289" s="579"/>
      <c r="B289" s="599"/>
      <c r="C289" s="581" t="s">
        <v>160</v>
      </c>
      <c r="D289" s="600"/>
      <c r="E289" s="601"/>
      <c r="F289" s="601"/>
      <c r="G289" s="602">
        <f>SUM(G276:G288)</f>
        <v>0</v>
      </c>
    </row>
    <row r="290" spans="1:7" ht="12">
      <c r="A290" s="402"/>
      <c r="B290" s="536" t="s">
        <v>594</v>
      </c>
      <c r="C290" s="537" t="s">
        <v>24</v>
      </c>
      <c r="D290" s="550"/>
      <c r="E290" s="546"/>
      <c r="F290" s="546"/>
      <c r="G290" s="547"/>
    </row>
    <row r="291" spans="1:80" s="276" customFormat="1" ht="12">
      <c r="A291" s="538" t="s">
        <v>472</v>
      </c>
      <c r="B291" s="539" t="s">
        <v>598</v>
      </c>
      <c r="C291" s="540" t="s">
        <v>1326</v>
      </c>
      <c r="D291" s="541" t="s">
        <v>157</v>
      </c>
      <c r="E291" s="542">
        <v>36</v>
      </c>
      <c r="F291" s="542">
        <v>0</v>
      </c>
      <c r="G291" s="543">
        <f>E291*F291</f>
        <v>0</v>
      </c>
      <c r="H291" s="275"/>
      <c r="I291" s="275"/>
      <c r="J291" s="275"/>
      <c r="K291" s="275"/>
      <c r="BB291" s="276">
        <v>2</v>
      </c>
      <c r="BC291" s="276">
        <f>IF(BB291=1,G291,0)</f>
        <v>0</v>
      </c>
      <c r="BD291" s="277">
        <f>IF(BB291=2,G291,0)</f>
        <v>0</v>
      </c>
      <c r="BE291" s="276">
        <f>IF(BB291=3,G291,0)</f>
        <v>0</v>
      </c>
      <c r="BF291" s="276">
        <f>IF(BB291=4,G291,0)</f>
        <v>0</v>
      </c>
      <c r="BG291" s="276">
        <f>IF(BB291=5,G291,0)</f>
        <v>0</v>
      </c>
      <c r="CA291" s="276">
        <v>1</v>
      </c>
      <c r="CB291" s="276">
        <v>7</v>
      </c>
    </row>
    <row r="292" spans="1:80" s="276" customFormat="1" ht="12">
      <c r="A292" s="538" t="s">
        <v>475</v>
      </c>
      <c r="B292" s="539" t="s">
        <v>600</v>
      </c>
      <c r="C292" s="540" t="s">
        <v>601</v>
      </c>
      <c r="D292" s="541" t="s">
        <v>83</v>
      </c>
      <c r="E292" s="542">
        <v>11</v>
      </c>
      <c r="F292" s="542">
        <v>0</v>
      </c>
      <c r="G292" s="543">
        <f>E292*F292</f>
        <v>0</v>
      </c>
      <c r="H292" s="275"/>
      <c r="I292" s="275"/>
      <c r="J292" s="275"/>
      <c r="K292" s="275"/>
      <c r="BB292" s="276">
        <v>2</v>
      </c>
      <c r="BC292" s="276">
        <f>IF(BB292=1,G292,0)</f>
        <v>0</v>
      </c>
      <c r="BD292" s="277">
        <f>IF(BB292=2,G292,0)</f>
        <v>0</v>
      </c>
      <c r="BE292" s="276">
        <f>IF(BB292=3,G292,0)</f>
        <v>0</v>
      </c>
      <c r="BF292" s="276">
        <f>IF(BB292=4,G292,0)</f>
        <v>0</v>
      </c>
      <c r="BG292" s="276">
        <f>IF(BB292=5,G292,0)</f>
        <v>0</v>
      </c>
      <c r="CA292" s="276">
        <v>1</v>
      </c>
      <c r="CB292" s="276">
        <v>7</v>
      </c>
    </row>
    <row r="293" spans="1:80" s="276" customFormat="1" ht="12">
      <c r="A293" s="538" t="s">
        <v>478</v>
      </c>
      <c r="B293" s="539" t="s">
        <v>603</v>
      </c>
      <c r="C293" s="540" t="s">
        <v>604</v>
      </c>
      <c r="D293" s="541" t="s">
        <v>83</v>
      </c>
      <c r="E293" s="542">
        <v>54</v>
      </c>
      <c r="F293" s="542">
        <v>0</v>
      </c>
      <c r="G293" s="543">
        <f>E293*F293</f>
        <v>0</v>
      </c>
      <c r="H293" s="275"/>
      <c r="I293" s="275"/>
      <c r="J293" s="275"/>
      <c r="K293" s="275"/>
      <c r="BB293" s="276">
        <v>2</v>
      </c>
      <c r="BC293" s="276">
        <f>IF(BB293=1,G293,0)</f>
        <v>0</v>
      </c>
      <c r="BD293" s="277">
        <f>IF(BB293=2,G293,0)</f>
        <v>0</v>
      </c>
      <c r="BE293" s="276">
        <f>IF(BB293=3,G293,0)</f>
        <v>0</v>
      </c>
      <c r="BF293" s="276">
        <f>IF(BB293=4,G293,0)</f>
        <v>0</v>
      </c>
      <c r="BG293" s="276">
        <f>IF(BB293=5,G293,0)</f>
        <v>0</v>
      </c>
      <c r="CA293" s="276">
        <v>1</v>
      </c>
      <c r="CB293" s="276">
        <v>7</v>
      </c>
    </row>
    <row r="294" spans="1:80" s="276" customFormat="1" ht="12">
      <c r="A294" s="538" t="s">
        <v>481</v>
      </c>
      <c r="B294" s="539" t="s">
        <v>606</v>
      </c>
      <c r="C294" s="540" t="s">
        <v>607</v>
      </c>
      <c r="D294" s="541" t="s">
        <v>157</v>
      </c>
      <c r="E294" s="542">
        <v>36</v>
      </c>
      <c r="F294" s="542">
        <v>0</v>
      </c>
      <c r="G294" s="543">
        <f>E294*F294</f>
        <v>0</v>
      </c>
      <c r="H294" s="275"/>
      <c r="I294" s="275"/>
      <c r="J294" s="275"/>
      <c r="K294" s="275"/>
      <c r="BB294" s="276">
        <v>2</v>
      </c>
      <c r="BC294" s="276">
        <f>IF(BB294=1,G294,0)</f>
        <v>0</v>
      </c>
      <c r="BD294" s="277">
        <f>IF(BB294=2,G294,0)</f>
        <v>0</v>
      </c>
      <c r="BE294" s="276">
        <f>IF(BB294=3,G294,0)</f>
        <v>0</v>
      </c>
      <c r="BF294" s="276">
        <f>IF(BB294=4,G294,0)</f>
        <v>0</v>
      </c>
      <c r="BG294" s="276">
        <f>IF(BB294=5,G294,0)</f>
        <v>0</v>
      </c>
      <c r="CA294" s="276">
        <v>1</v>
      </c>
      <c r="CB294" s="276">
        <v>7</v>
      </c>
    </row>
    <row r="295" spans="1:80" s="276" customFormat="1" ht="12">
      <c r="A295" s="538" t="s">
        <v>484</v>
      </c>
      <c r="B295" s="539" t="s">
        <v>609</v>
      </c>
      <c r="C295" s="540" t="s">
        <v>610</v>
      </c>
      <c r="D295" s="545" t="s">
        <v>555</v>
      </c>
      <c r="E295" s="546">
        <f>SUM(G291:G294)/100</f>
        <v>0</v>
      </c>
      <c r="F295" s="546">
        <v>5</v>
      </c>
      <c r="G295" s="547">
        <f>ROUND((E295*F295),0)</f>
        <v>0</v>
      </c>
      <c r="H295" s="275"/>
      <c r="I295" s="275"/>
      <c r="J295" s="275"/>
      <c r="K295" s="275"/>
      <c r="BB295" s="276">
        <v>2</v>
      </c>
      <c r="BC295" s="276">
        <f>IF(BB295=1,G295,0)</f>
        <v>0</v>
      </c>
      <c r="BD295" s="277">
        <f>IF(BB295=2,G295,0)</f>
        <v>0</v>
      </c>
      <c r="BE295" s="276">
        <f>IF(BB295=3,G295,0)</f>
        <v>0</v>
      </c>
      <c r="BF295" s="276">
        <f>IF(BB295=4,G295,0)</f>
        <v>0</v>
      </c>
      <c r="BG295" s="276">
        <f>IF(BB295=5,G295,0)</f>
        <v>0</v>
      </c>
      <c r="CA295" s="276">
        <v>1</v>
      </c>
      <c r="CB295" s="276">
        <v>7</v>
      </c>
    </row>
    <row r="296" spans="1:7" ht="12.75" thickBot="1">
      <c r="A296" s="603" t="s">
        <v>487</v>
      </c>
      <c r="B296" s="604" t="s">
        <v>612</v>
      </c>
      <c r="C296" s="605" t="s">
        <v>613</v>
      </c>
      <c r="D296" s="606" t="s">
        <v>593</v>
      </c>
      <c r="E296" s="607">
        <v>10</v>
      </c>
      <c r="F296" s="607">
        <v>0</v>
      </c>
      <c r="G296" s="609">
        <f>E296*F296</f>
        <v>0</v>
      </c>
    </row>
    <row r="297" spans="1:7" ht="12.75" thickTop="1">
      <c r="A297" s="579"/>
      <c r="B297" s="599"/>
      <c r="C297" s="581" t="s">
        <v>160</v>
      </c>
      <c r="D297" s="600"/>
      <c r="E297" s="601"/>
      <c r="F297" s="601"/>
      <c r="G297" s="602">
        <f>SUM(G291:G296)</f>
        <v>0</v>
      </c>
    </row>
    <row r="298" spans="1:7" ht="12">
      <c r="A298" s="402"/>
      <c r="B298" s="536" t="s">
        <v>614</v>
      </c>
      <c r="C298" s="537" t="s">
        <v>25</v>
      </c>
      <c r="D298" s="550"/>
      <c r="E298" s="546"/>
      <c r="F298" s="546"/>
      <c r="G298" s="547"/>
    </row>
    <row r="299" spans="1:80" s="276" customFormat="1" ht="12">
      <c r="A299" s="538" t="s">
        <v>490</v>
      </c>
      <c r="B299" s="539" t="s">
        <v>616</v>
      </c>
      <c r="C299" s="540" t="s">
        <v>617</v>
      </c>
      <c r="D299" s="541" t="s">
        <v>104</v>
      </c>
      <c r="E299" s="542">
        <v>3</v>
      </c>
      <c r="F299" s="542">
        <v>0</v>
      </c>
      <c r="G299" s="543">
        <f aca="true" t="shared" si="7" ref="G299:G312">E299*F299</f>
        <v>0</v>
      </c>
      <c r="H299" s="275"/>
      <c r="I299" s="275"/>
      <c r="J299" s="275"/>
      <c r="K299" s="275"/>
      <c r="BB299" s="276">
        <v>2</v>
      </c>
      <c r="BC299" s="276">
        <f>IF(BB299=1,G299,0)</f>
        <v>0</v>
      </c>
      <c r="BD299" s="277">
        <f>IF(BB299=2,G299,0)</f>
        <v>0</v>
      </c>
      <c r="BE299" s="276">
        <f>IF(BB299=3,G299,0)</f>
        <v>0</v>
      </c>
      <c r="BF299" s="276">
        <f>IF(BB299=4,G299,0)</f>
        <v>0</v>
      </c>
      <c r="BG299" s="276">
        <f>IF(BB299=5,G299,0)</f>
        <v>0</v>
      </c>
      <c r="CA299" s="276">
        <v>1</v>
      </c>
      <c r="CB299" s="276">
        <v>7</v>
      </c>
    </row>
    <row r="300" spans="1:80" s="276" customFormat="1" ht="12">
      <c r="A300" s="538" t="s">
        <v>493</v>
      </c>
      <c r="B300" s="539" t="s">
        <v>622</v>
      </c>
      <c r="C300" s="540" t="s">
        <v>623</v>
      </c>
      <c r="D300" s="541" t="s">
        <v>104</v>
      </c>
      <c r="E300" s="542">
        <v>2</v>
      </c>
      <c r="F300" s="542">
        <v>0</v>
      </c>
      <c r="G300" s="543">
        <f t="shared" si="7"/>
        <v>0</v>
      </c>
      <c r="H300" s="275"/>
      <c r="I300" s="275"/>
      <c r="J300" s="275"/>
      <c r="K300" s="275"/>
      <c r="AA300" s="108"/>
      <c r="AB300" s="108"/>
      <c r="AC300" s="108"/>
      <c r="BB300" s="108"/>
      <c r="BC300" s="108"/>
      <c r="BD300" s="108"/>
      <c r="BE300" s="108"/>
      <c r="BF300" s="108"/>
      <c r="BG300" s="108"/>
      <c r="CA300" s="108"/>
      <c r="CB300" s="108"/>
    </row>
    <row r="301" spans="1:80" s="276" customFormat="1" ht="12">
      <c r="A301" s="538" t="s">
        <v>495</v>
      </c>
      <c r="B301" s="539" t="s">
        <v>628</v>
      </c>
      <c r="C301" s="540" t="s">
        <v>1327</v>
      </c>
      <c r="D301" s="541" t="s">
        <v>104</v>
      </c>
      <c r="E301" s="542">
        <v>2</v>
      </c>
      <c r="F301" s="542">
        <v>0</v>
      </c>
      <c r="G301" s="543">
        <f t="shared" si="7"/>
        <v>0</v>
      </c>
      <c r="H301" s="275"/>
      <c r="I301" s="275"/>
      <c r="J301" s="275"/>
      <c r="K301" s="275"/>
      <c r="AA301" s="108"/>
      <c r="AB301" s="108"/>
      <c r="AC301" s="108"/>
      <c r="BB301" s="108"/>
      <c r="BC301" s="108"/>
      <c r="BD301" s="108"/>
      <c r="BE301" s="108"/>
      <c r="BF301" s="108"/>
      <c r="BG301" s="108"/>
      <c r="CA301" s="108"/>
      <c r="CB301" s="108"/>
    </row>
    <row r="302" spans="1:80" s="276" customFormat="1" ht="12">
      <c r="A302" s="538" t="s">
        <v>498</v>
      </c>
      <c r="B302" s="539" t="s">
        <v>631</v>
      </c>
      <c r="C302" s="540" t="s">
        <v>632</v>
      </c>
      <c r="D302" s="541" t="s">
        <v>104</v>
      </c>
      <c r="E302" s="542">
        <v>1</v>
      </c>
      <c r="F302" s="542">
        <v>0</v>
      </c>
      <c r="G302" s="543">
        <f t="shared" si="7"/>
        <v>0</v>
      </c>
      <c r="H302" s="275"/>
      <c r="I302" s="275"/>
      <c r="J302" s="275"/>
      <c r="K302" s="275"/>
      <c r="AA302" s="108"/>
      <c r="AB302" s="108"/>
      <c r="AC302" s="108"/>
      <c r="BB302" s="108"/>
      <c r="BC302" s="108"/>
      <c r="BD302" s="108"/>
      <c r="BE302" s="108"/>
      <c r="BF302" s="108"/>
      <c r="BG302" s="108"/>
      <c r="CA302" s="108"/>
      <c r="CB302" s="108"/>
    </row>
    <row r="303" spans="1:80" s="276" customFormat="1" ht="12">
      <c r="A303" s="538" t="s">
        <v>501</v>
      </c>
      <c r="B303" s="539" t="s">
        <v>634</v>
      </c>
      <c r="C303" s="540" t="s">
        <v>635</v>
      </c>
      <c r="D303" s="541" t="s">
        <v>104</v>
      </c>
      <c r="E303" s="542">
        <v>1</v>
      </c>
      <c r="F303" s="542">
        <v>0</v>
      </c>
      <c r="G303" s="543">
        <f t="shared" si="7"/>
        <v>0</v>
      </c>
      <c r="H303" s="275"/>
      <c r="I303" s="275"/>
      <c r="J303" s="275"/>
      <c r="K303" s="275"/>
      <c r="AA303" s="108"/>
      <c r="AB303" s="108"/>
      <c r="AC303" s="108"/>
      <c r="BB303" s="108"/>
      <c r="BC303" s="108"/>
      <c r="BD303" s="108"/>
      <c r="BE303" s="108"/>
      <c r="BF303" s="108"/>
      <c r="BG303" s="108"/>
      <c r="CA303" s="108"/>
      <c r="CB303" s="108"/>
    </row>
    <row r="304" spans="1:80" s="276" customFormat="1" ht="12">
      <c r="A304" s="538" t="s">
        <v>505</v>
      </c>
      <c r="B304" s="539" t="s">
        <v>637</v>
      </c>
      <c r="C304" s="540" t="s">
        <v>638</v>
      </c>
      <c r="D304" s="541" t="s">
        <v>104</v>
      </c>
      <c r="E304" s="542">
        <v>2</v>
      </c>
      <c r="F304" s="542">
        <v>0</v>
      </c>
      <c r="G304" s="543">
        <f t="shared" si="7"/>
        <v>0</v>
      </c>
      <c r="H304" s="275"/>
      <c r="I304" s="275"/>
      <c r="J304" s="275"/>
      <c r="K304" s="275"/>
      <c r="BB304" s="276">
        <v>2</v>
      </c>
      <c r="BC304" s="276">
        <f aca="true" t="shared" si="8" ref="BC304:BC312">IF(BB304=1,G304,0)</f>
        <v>0</v>
      </c>
      <c r="BD304" s="277">
        <f aca="true" t="shared" si="9" ref="BD304:BD312">IF(BB304=2,G304,0)</f>
        <v>0</v>
      </c>
      <c r="BE304" s="276">
        <f aca="true" t="shared" si="10" ref="BE304:BE312">IF(BB304=3,G304,0)</f>
        <v>0</v>
      </c>
      <c r="BF304" s="276">
        <f aca="true" t="shared" si="11" ref="BF304:BF312">IF(BB304=4,G304,0)</f>
        <v>0</v>
      </c>
      <c r="BG304" s="276">
        <f aca="true" t="shared" si="12" ref="BG304:BG312">IF(BB304=5,G304,0)</f>
        <v>0</v>
      </c>
      <c r="CA304" s="276">
        <v>1</v>
      </c>
      <c r="CB304" s="276">
        <v>7</v>
      </c>
    </row>
    <row r="305" spans="1:80" s="276" customFormat="1" ht="12">
      <c r="A305" s="538" t="s">
        <v>510</v>
      </c>
      <c r="B305" s="539" t="s">
        <v>640</v>
      </c>
      <c r="C305" s="540" t="s">
        <v>641</v>
      </c>
      <c r="D305" s="541" t="s">
        <v>83</v>
      </c>
      <c r="E305" s="542">
        <v>2</v>
      </c>
      <c r="F305" s="542">
        <v>0</v>
      </c>
      <c r="G305" s="543">
        <f t="shared" si="7"/>
        <v>0</v>
      </c>
      <c r="H305" s="275"/>
      <c r="I305" s="275"/>
      <c r="J305" s="275"/>
      <c r="K305" s="275"/>
      <c r="BB305" s="276">
        <v>2</v>
      </c>
      <c r="BC305" s="276">
        <f t="shared" si="8"/>
        <v>0</v>
      </c>
      <c r="BD305" s="277">
        <f t="shared" si="9"/>
        <v>0</v>
      </c>
      <c r="BE305" s="276">
        <f t="shared" si="10"/>
        <v>0</v>
      </c>
      <c r="BF305" s="276">
        <f t="shared" si="11"/>
        <v>0</v>
      </c>
      <c r="BG305" s="276">
        <f t="shared" si="12"/>
        <v>0</v>
      </c>
      <c r="CA305" s="276">
        <v>1</v>
      </c>
      <c r="CB305" s="276">
        <v>7</v>
      </c>
    </row>
    <row r="306" spans="1:80" s="276" customFormat="1" ht="12">
      <c r="A306" s="538" t="s">
        <v>514</v>
      </c>
      <c r="B306" s="539" t="s">
        <v>643</v>
      </c>
      <c r="C306" s="540" t="s">
        <v>644</v>
      </c>
      <c r="D306" s="541" t="s">
        <v>83</v>
      </c>
      <c r="E306" s="551">
        <v>11</v>
      </c>
      <c r="F306" s="542">
        <v>0</v>
      </c>
      <c r="G306" s="543">
        <f t="shared" si="7"/>
        <v>0</v>
      </c>
      <c r="H306" s="275"/>
      <c r="I306" s="275"/>
      <c r="J306" s="275"/>
      <c r="K306" s="275"/>
      <c r="BB306" s="276">
        <v>2</v>
      </c>
      <c r="BC306" s="276">
        <f t="shared" si="8"/>
        <v>0</v>
      </c>
      <c r="BD306" s="277">
        <f t="shared" si="9"/>
        <v>0</v>
      </c>
      <c r="BE306" s="276">
        <f t="shared" si="10"/>
        <v>0</v>
      </c>
      <c r="BF306" s="276">
        <f t="shared" si="11"/>
        <v>0</v>
      </c>
      <c r="BG306" s="276">
        <f t="shared" si="12"/>
        <v>0</v>
      </c>
      <c r="CA306" s="276">
        <v>1</v>
      </c>
      <c r="CB306" s="276">
        <v>7</v>
      </c>
    </row>
    <row r="307" spans="1:80" s="276" customFormat="1" ht="12">
      <c r="A307" s="538" t="s">
        <v>517</v>
      </c>
      <c r="B307" s="539" t="s">
        <v>646</v>
      </c>
      <c r="C307" s="540" t="s">
        <v>647</v>
      </c>
      <c r="D307" s="541" t="s">
        <v>83</v>
      </c>
      <c r="E307" s="542">
        <v>2</v>
      </c>
      <c r="F307" s="542">
        <v>0</v>
      </c>
      <c r="G307" s="543">
        <f t="shared" si="7"/>
        <v>0</v>
      </c>
      <c r="H307" s="275"/>
      <c r="I307" s="275"/>
      <c r="J307" s="275"/>
      <c r="K307" s="275"/>
      <c r="BB307" s="276">
        <v>2</v>
      </c>
      <c r="BC307" s="276">
        <f t="shared" si="8"/>
        <v>0</v>
      </c>
      <c r="BD307" s="277">
        <f t="shared" si="9"/>
        <v>0</v>
      </c>
      <c r="BE307" s="276">
        <f t="shared" si="10"/>
        <v>0</v>
      </c>
      <c r="BF307" s="276">
        <f t="shared" si="11"/>
        <v>0</v>
      </c>
      <c r="BG307" s="276">
        <f t="shared" si="12"/>
        <v>0</v>
      </c>
      <c r="CA307" s="276">
        <v>1</v>
      </c>
      <c r="CB307" s="276">
        <v>7</v>
      </c>
    </row>
    <row r="308" spans="1:80" s="276" customFormat="1" ht="12">
      <c r="A308" s="538" t="s">
        <v>521</v>
      </c>
      <c r="B308" s="539" t="s">
        <v>649</v>
      </c>
      <c r="C308" s="540" t="s">
        <v>650</v>
      </c>
      <c r="D308" s="541" t="s">
        <v>83</v>
      </c>
      <c r="E308" s="542">
        <v>1</v>
      </c>
      <c r="F308" s="542">
        <v>0</v>
      </c>
      <c r="G308" s="543">
        <f t="shared" si="7"/>
        <v>0</v>
      </c>
      <c r="H308" s="275"/>
      <c r="I308" s="275"/>
      <c r="J308" s="275"/>
      <c r="K308" s="275"/>
      <c r="BB308" s="276">
        <v>2</v>
      </c>
      <c r="BC308" s="276">
        <f t="shared" si="8"/>
        <v>0</v>
      </c>
      <c r="BD308" s="277">
        <f t="shared" si="9"/>
        <v>0</v>
      </c>
      <c r="BE308" s="276">
        <f t="shared" si="10"/>
        <v>0</v>
      </c>
      <c r="BF308" s="276">
        <f t="shared" si="11"/>
        <v>0</v>
      </c>
      <c r="BG308" s="276">
        <f t="shared" si="12"/>
        <v>0</v>
      </c>
      <c r="CA308" s="276">
        <v>1</v>
      </c>
      <c r="CB308" s="276">
        <v>7</v>
      </c>
    </row>
    <row r="309" spans="1:80" s="276" customFormat="1" ht="12">
      <c r="A309" s="538" t="s">
        <v>524</v>
      </c>
      <c r="B309" s="539" t="s">
        <v>652</v>
      </c>
      <c r="C309" s="540" t="s">
        <v>653</v>
      </c>
      <c r="D309" s="541" t="s">
        <v>83</v>
      </c>
      <c r="E309" s="542">
        <v>1</v>
      </c>
      <c r="F309" s="542">
        <v>0</v>
      </c>
      <c r="G309" s="543">
        <f t="shared" si="7"/>
        <v>0</v>
      </c>
      <c r="H309" s="275"/>
      <c r="I309" s="275"/>
      <c r="J309" s="275"/>
      <c r="K309" s="275"/>
      <c r="BB309" s="276">
        <v>2</v>
      </c>
      <c r="BC309" s="276">
        <f t="shared" si="8"/>
        <v>0</v>
      </c>
      <c r="BD309" s="277">
        <f t="shared" si="9"/>
        <v>0</v>
      </c>
      <c r="BE309" s="276">
        <f t="shared" si="10"/>
        <v>0</v>
      </c>
      <c r="BF309" s="276">
        <f t="shared" si="11"/>
        <v>0</v>
      </c>
      <c r="BG309" s="276">
        <f t="shared" si="12"/>
        <v>0</v>
      </c>
      <c r="CA309" s="276">
        <v>1</v>
      </c>
      <c r="CB309" s="276">
        <v>7</v>
      </c>
    </row>
    <row r="310" spans="1:80" s="276" customFormat="1" ht="12">
      <c r="A310" s="538" t="s">
        <v>527</v>
      </c>
      <c r="B310" s="539" t="s">
        <v>655</v>
      </c>
      <c r="C310" s="540" t="s">
        <v>656</v>
      </c>
      <c r="D310" s="541" t="s">
        <v>83</v>
      </c>
      <c r="E310" s="542">
        <v>4</v>
      </c>
      <c r="F310" s="542">
        <v>0</v>
      </c>
      <c r="G310" s="543">
        <f t="shared" si="7"/>
        <v>0</v>
      </c>
      <c r="H310" s="275"/>
      <c r="I310" s="275"/>
      <c r="J310" s="275"/>
      <c r="K310" s="275"/>
      <c r="BB310" s="276">
        <v>2</v>
      </c>
      <c r="BC310" s="276">
        <f t="shared" si="8"/>
        <v>0</v>
      </c>
      <c r="BD310" s="277">
        <f t="shared" si="9"/>
        <v>0</v>
      </c>
      <c r="BE310" s="276">
        <f t="shared" si="10"/>
        <v>0</v>
      </c>
      <c r="BF310" s="276">
        <f t="shared" si="11"/>
        <v>0</v>
      </c>
      <c r="BG310" s="276">
        <f t="shared" si="12"/>
        <v>0</v>
      </c>
      <c r="CA310" s="276">
        <v>1</v>
      </c>
      <c r="CB310" s="276">
        <v>7</v>
      </c>
    </row>
    <row r="311" spans="1:80" s="276" customFormat="1" ht="12">
      <c r="A311" s="538" t="s">
        <v>530</v>
      </c>
      <c r="B311" s="539" t="s">
        <v>658</v>
      </c>
      <c r="C311" s="540" t="s">
        <v>659</v>
      </c>
      <c r="D311" s="541" t="s">
        <v>83</v>
      </c>
      <c r="E311" s="542">
        <v>1</v>
      </c>
      <c r="F311" s="542">
        <v>0</v>
      </c>
      <c r="G311" s="543">
        <f t="shared" si="7"/>
        <v>0</v>
      </c>
      <c r="H311" s="275"/>
      <c r="I311" s="275"/>
      <c r="J311" s="275"/>
      <c r="K311" s="275"/>
      <c r="BB311" s="276">
        <v>2</v>
      </c>
      <c r="BC311" s="276">
        <f t="shared" si="8"/>
        <v>0</v>
      </c>
      <c r="BD311" s="277">
        <f t="shared" si="9"/>
        <v>0</v>
      </c>
      <c r="BE311" s="276">
        <f t="shared" si="10"/>
        <v>0</v>
      </c>
      <c r="BF311" s="276">
        <f t="shared" si="11"/>
        <v>0</v>
      </c>
      <c r="BG311" s="276">
        <f t="shared" si="12"/>
        <v>0</v>
      </c>
      <c r="CA311" s="276">
        <v>1</v>
      </c>
      <c r="CB311" s="276">
        <v>7</v>
      </c>
    </row>
    <row r="312" spans="1:80" s="276" customFormat="1" ht="12.75" thickBot="1">
      <c r="A312" s="603" t="s">
        <v>533</v>
      </c>
      <c r="B312" s="610" t="s">
        <v>661</v>
      </c>
      <c r="C312" s="611" t="s">
        <v>662</v>
      </c>
      <c r="D312" s="612" t="s">
        <v>555</v>
      </c>
      <c r="E312" s="613">
        <f>SUM(G299:G311)/100</f>
        <v>0</v>
      </c>
      <c r="F312" s="613">
        <v>3</v>
      </c>
      <c r="G312" s="609">
        <f t="shared" si="7"/>
        <v>0</v>
      </c>
      <c r="H312" s="275"/>
      <c r="I312" s="275"/>
      <c r="J312" s="275"/>
      <c r="K312" s="275"/>
      <c r="BB312" s="276">
        <v>2</v>
      </c>
      <c r="BC312" s="276">
        <f t="shared" si="8"/>
        <v>0</v>
      </c>
      <c r="BD312" s="277">
        <f t="shared" si="9"/>
        <v>0</v>
      </c>
      <c r="BE312" s="276">
        <f t="shared" si="10"/>
        <v>0</v>
      </c>
      <c r="BF312" s="276">
        <f t="shared" si="11"/>
        <v>0</v>
      </c>
      <c r="BG312" s="276">
        <f t="shared" si="12"/>
        <v>0</v>
      </c>
      <c r="CA312" s="276">
        <v>1</v>
      </c>
      <c r="CB312" s="276">
        <v>5</v>
      </c>
    </row>
    <row r="313" spans="1:7" ht="12.75" thickTop="1">
      <c r="A313" s="579"/>
      <c r="B313" s="599"/>
      <c r="C313" s="581" t="s">
        <v>160</v>
      </c>
      <c r="D313" s="600"/>
      <c r="E313" s="601"/>
      <c r="F313" s="601"/>
      <c r="G313" s="602">
        <f>SUM(G299:G312)</f>
        <v>0</v>
      </c>
    </row>
    <row r="314" spans="1:7" ht="12">
      <c r="A314" s="402"/>
      <c r="B314" s="536" t="s">
        <v>663</v>
      </c>
      <c r="C314" s="537" t="s">
        <v>26</v>
      </c>
      <c r="D314" s="550"/>
      <c r="E314" s="546"/>
      <c r="F314" s="546"/>
      <c r="G314" s="547"/>
    </row>
    <row r="315" spans="1:80" s="276" customFormat="1" ht="12">
      <c r="A315" s="538" t="s">
        <v>536</v>
      </c>
      <c r="B315" s="539" t="s">
        <v>1339</v>
      </c>
      <c r="C315" s="540" t="s">
        <v>1346</v>
      </c>
      <c r="D315" s="541" t="s">
        <v>157</v>
      </c>
      <c r="E315" s="542">
        <v>13</v>
      </c>
      <c r="F315" s="542">
        <v>0</v>
      </c>
      <c r="G315" s="543">
        <f aca="true" t="shared" si="13" ref="G315:G322">E315*F315</f>
        <v>0</v>
      </c>
      <c r="H315" s="275"/>
      <c r="I315" s="275"/>
      <c r="J315" s="275"/>
      <c r="K315" s="275"/>
      <c r="AA315" s="108"/>
      <c r="AB315" s="108"/>
      <c r="AC315" s="108"/>
      <c r="BB315" s="108"/>
      <c r="BC315" s="108"/>
      <c r="BD315" s="108"/>
      <c r="BE315" s="108"/>
      <c r="BF315" s="108"/>
      <c r="BG315" s="108"/>
      <c r="CA315" s="108"/>
      <c r="CB315" s="108"/>
    </row>
    <row r="316" spans="1:80" s="276" customFormat="1" ht="12">
      <c r="A316" s="538" t="s">
        <v>539</v>
      </c>
      <c r="B316" s="539" t="s">
        <v>1347</v>
      </c>
      <c r="C316" s="540" t="s">
        <v>1348</v>
      </c>
      <c r="D316" s="541" t="s">
        <v>157</v>
      </c>
      <c r="E316" s="542">
        <v>13</v>
      </c>
      <c r="F316" s="542">
        <v>0</v>
      </c>
      <c r="G316" s="543">
        <f>E316*F316</f>
        <v>0</v>
      </c>
      <c r="H316" s="275"/>
      <c r="I316" s="275"/>
      <c r="J316" s="275"/>
      <c r="K316" s="275"/>
      <c r="AA316" s="108"/>
      <c r="AB316" s="108"/>
      <c r="AC316" s="108"/>
      <c r="BB316" s="108"/>
      <c r="BC316" s="108"/>
      <c r="BD316" s="108"/>
      <c r="BE316" s="108"/>
      <c r="BF316" s="108"/>
      <c r="BG316" s="108"/>
      <c r="CA316" s="108"/>
      <c r="CB316" s="108"/>
    </row>
    <row r="317" spans="1:80" s="276" customFormat="1" ht="12">
      <c r="A317" s="538" t="s">
        <v>543</v>
      </c>
      <c r="B317" s="539" t="s">
        <v>1349</v>
      </c>
      <c r="C317" s="421" t="s">
        <v>1350</v>
      </c>
      <c r="D317" s="541" t="s">
        <v>83</v>
      </c>
      <c r="E317" s="542">
        <v>4</v>
      </c>
      <c r="F317" s="542">
        <v>0</v>
      </c>
      <c r="G317" s="543">
        <f>E317*F317</f>
        <v>0</v>
      </c>
      <c r="H317" s="275"/>
      <c r="I317" s="275"/>
      <c r="J317" s="275"/>
      <c r="K317" s="275"/>
      <c r="AA317" s="108"/>
      <c r="AB317" s="108"/>
      <c r="AC317" s="108"/>
      <c r="BB317" s="108"/>
      <c r="BC317" s="108"/>
      <c r="BD317" s="108"/>
      <c r="BE317" s="108"/>
      <c r="BF317" s="108"/>
      <c r="BG317" s="108"/>
      <c r="CA317" s="108"/>
      <c r="CB317" s="108"/>
    </row>
    <row r="318" spans="1:80" s="276" customFormat="1" ht="12">
      <c r="A318" s="538" t="s">
        <v>549</v>
      </c>
      <c r="B318" s="539" t="s">
        <v>1351</v>
      </c>
      <c r="C318" s="421" t="s">
        <v>1352</v>
      </c>
      <c r="D318" s="541" t="s">
        <v>83</v>
      </c>
      <c r="E318" s="542">
        <v>4</v>
      </c>
      <c r="F318" s="542">
        <v>0</v>
      </c>
      <c r="G318" s="543">
        <f>E318*F318</f>
        <v>0</v>
      </c>
      <c r="H318" s="275"/>
      <c r="I318" s="275"/>
      <c r="J318" s="275"/>
      <c r="K318" s="275"/>
      <c r="AA318" s="108"/>
      <c r="AB318" s="108"/>
      <c r="AC318" s="108"/>
      <c r="BB318" s="108"/>
      <c r="BC318" s="108"/>
      <c r="BD318" s="108"/>
      <c r="BE318" s="108"/>
      <c r="BF318" s="108"/>
      <c r="BG318" s="108"/>
      <c r="CA318" s="108"/>
      <c r="CB318" s="108"/>
    </row>
    <row r="319" spans="1:80" s="276" customFormat="1" ht="12">
      <c r="A319" s="538" t="s">
        <v>552</v>
      </c>
      <c r="B319" s="539" t="s">
        <v>667</v>
      </c>
      <c r="C319" s="540" t="s">
        <v>668</v>
      </c>
      <c r="D319" s="541" t="s">
        <v>157</v>
      </c>
      <c r="E319" s="542">
        <v>13</v>
      </c>
      <c r="F319" s="542">
        <v>0</v>
      </c>
      <c r="G319" s="543">
        <f t="shared" si="13"/>
        <v>0</v>
      </c>
      <c r="H319" s="275"/>
      <c r="I319" s="275"/>
      <c r="J319" s="275"/>
      <c r="K319" s="275"/>
      <c r="Q319" s="276">
        <v>2</v>
      </c>
      <c r="BB319" s="276">
        <v>2</v>
      </c>
      <c r="BC319" s="276">
        <f>IF(BB319=1,G319,0)</f>
        <v>0</v>
      </c>
      <c r="BD319" s="277">
        <f>IF(BB319=2,G319,0)</f>
        <v>0</v>
      </c>
      <c r="BE319" s="276">
        <f>IF(BB319=3,G319,0)</f>
        <v>0</v>
      </c>
      <c r="BF319" s="276">
        <f>IF(BB319=4,G319,0)</f>
        <v>0</v>
      </c>
      <c r="BG319" s="276">
        <f>IF(BB319=5,G319,0)</f>
        <v>0</v>
      </c>
      <c r="CA319" s="276">
        <v>1</v>
      </c>
      <c r="CB319" s="276">
        <v>7</v>
      </c>
    </row>
    <row r="320" spans="1:7" ht="12">
      <c r="A320" s="538" t="s">
        <v>556</v>
      </c>
      <c r="B320" s="548" t="s">
        <v>676</v>
      </c>
      <c r="C320" s="549" t="s">
        <v>677</v>
      </c>
      <c r="D320" s="545" t="s">
        <v>358</v>
      </c>
      <c r="E320" s="546">
        <v>0.02</v>
      </c>
      <c r="F320" s="546">
        <v>0</v>
      </c>
      <c r="G320" s="543">
        <f t="shared" si="13"/>
        <v>0</v>
      </c>
    </row>
    <row r="321" spans="1:7" ht="12">
      <c r="A321" s="538" t="s">
        <v>558</v>
      </c>
      <c r="B321" s="548" t="s">
        <v>670</v>
      </c>
      <c r="C321" s="549" t="s">
        <v>1340</v>
      </c>
      <c r="D321" s="545" t="s">
        <v>593</v>
      </c>
      <c r="E321" s="546">
        <v>8</v>
      </c>
      <c r="F321" s="546">
        <v>0</v>
      </c>
      <c r="G321" s="543">
        <f t="shared" si="13"/>
        <v>0</v>
      </c>
    </row>
    <row r="322" spans="1:7" ht="17.25" customHeight="1" thickBot="1">
      <c r="A322" s="603" t="s">
        <v>560</v>
      </c>
      <c r="B322" s="604" t="s">
        <v>673</v>
      </c>
      <c r="C322" s="593" t="s">
        <v>674</v>
      </c>
      <c r="D322" s="606" t="s">
        <v>593</v>
      </c>
      <c r="E322" s="607">
        <v>15</v>
      </c>
      <c r="F322" s="607">
        <v>0</v>
      </c>
      <c r="G322" s="609">
        <f t="shared" si="13"/>
        <v>0</v>
      </c>
    </row>
    <row r="323" spans="1:7" ht="12.75" thickTop="1">
      <c r="A323" s="579"/>
      <c r="B323" s="614"/>
      <c r="C323" s="615" t="s">
        <v>160</v>
      </c>
      <c r="D323" s="616"/>
      <c r="E323" s="617"/>
      <c r="F323" s="617"/>
      <c r="G323" s="618">
        <f>SUM(G315:G322)</f>
        <v>0</v>
      </c>
    </row>
    <row r="324" spans="1:7" ht="12">
      <c r="A324" s="402"/>
      <c r="B324" s="536" t="s">
        <v>696</v>
      </c>
      <c r="C324" s="537" t="s">
        <v>28</v>
      </c>
      <c r="D324" s="550"/>
      <c r="E324" s="546"/>
      <c r="F324" s="546"/>
      <c r="G324" s="547"/>
    </row>
    <row r="325" spans="1:80" s="276" customFormat="1" ht="12">
      <c r="A325" s="538" t="s">
        <v>562</v>
      </c>
      <c r="B325" s="539" t="s">
        <v>701</v>
      </c>
      <c r="C325" s="540" t="s">
        <v>1353</v>
      </c>
      <c r="D325" s="541" t="s">
        <v>83</v>
      </c>
      <c r="E325" s="542">
        <v>1</v>
      </c>
      <c r="F325" s="542">
        <v>0</v>
      </c>
      <c r="G325" s="543">
        <f aca="true" t="shared" si="14" ref="G325:G330">E325*F325</f>
        <v>0</v>
      </c>
      <c r="H325" s="275"/>
      <c r="I325" s="275"/>
      <c r="J325" s="275"/>
      <c r="K325" s="275"/>
      <c r="Q325" s="276">
        <v>2</v>
      </c>
      <c r="BB325" s="276">
        <v>2</v>
      </c>
      <c r="BC325" s="276">
        <f>IF(BB325=1,G325,0)</f>
        <v>0</v>
      </c>
      <c r="BD325" s="277">
        <f>IF(BB325=2,G325,0)</f>
        <v>0</v>
      </c>
      <c r="BE325" s="276">
        <f>IF(BB325=3,G325,0)</f>
        <v>0</v>
      </c>
      <c r="BF325" s="276">
        <f>IF(BB325=4,G325,0)</f>
        <v>0</v>
      </c>
      <c r="BG325" s="276">
        <f>IF(BB325=5,G325,0)</f>
        <v>0</v>
      </c>
      <c r="CA325" s="276">
        <v>1</v>
      </c>
      <c r="CB325" s="276">
        <v>7</v>
      </c>
    </row>
    <row r="326" spans="1:80" s="276" customFormat="1" ht="12">
      <c r="A326" s="538" t="s">
        <v>566</v>
      </c>
      <c r="B326" s="539" t="s">
        <v>1341</v>
      </c>
      <c r="C326" s="540" t="s">
        <v>1354</v>
      </c>
      <c r="D326" s="541" t="s">
        <v>83</v>
      </c>
      <c r="E326" s="542">
        <v>3</v>
      </c>
      <c r="F326" s="542">
        <v>0</v>
      </c>
      <c r="G326" s="543">
        <f t="shared" si="14"/>
        <v>0</v>
      </c>
      <c r="H326" s="275"/>
      <c r="I326" s="275"/>
      <c r="J326" s="275"/>
      <c r="K326" s="275"/>
      <c r="Q326" s="276">
        <v>2</v>
      </c>
      <c r="BB326" s="276">
        <v>2</v>
      </c>
      <c r="BC326" s="276">
        <f>IF(BB326=1,G326,0)</f>
        <v>0</v>
      </c>
      <c r="BD326" s="277">
        <f>IF(BB326=2,G326,0)</f>
        <v>0</v>
      </c>
      <c r="BE326" s="276">
        <f>IF(BB326=3,G326,0)</f>
        <v>0</v>
      </c>
      <c r="BF326" s="276">
        <f>IF(BB326=4,G326,0)</f>
        <v>0</v>
      </c>
      <c r="BG326" s="276">
        <f>IF(BB326=5,G326,0)</f>
        <v>0</v>
      </c>
      <c r="CA326" s="276">
        <v>1</v>
      </c>
      <c r="CB326" s="276">
        <v>7</v>
      </c>
    </row>
    <row r="327" spans="1:80" s="276" customFormat="1" ht="12">
      <c r="A327" s="538" t="s">
        <v>569</v>
      </c>
      <c r="B327" s="539" t="s">
        <v>1342</v>
      </c>
      <c r="C327" s="540" t="s">
        <v>1355</v>
      </c>
      <c r="D327" s="541" t="s">
        <v>83</v>
      </c>
      <c r="E327" s="542">
        <v>1</v>
      </c>
      <c r="F327" s="551">
        <v>0</v>
      </c>
      <c r="G327" s="543">
        <f t="shared" si="14"/>
        <v>0</v>
      </c>
      <c r="H327" s="275"/>
      <c r="I327" s="275"/>
      <c r="J327" s="275"/>
      <c r="K327" s="275"/>
      <c r="Q327" s="276">
        <v>2</v>
      </c>
      <c r="BB327" s="276">
        <v>2</v>
      </c>
      <c r="BC327" s="276">
        <f>IF(BB327=1,G327,0)</f>
        <v>0</v>
      </c>
      <c r="BD327" s="277">
        <f>IF(BB327=2,G327,0)</f>
        <v>0</v>
      </c>
      <c r="BE327" s="276">
        <f>IF(BB327=3,G327,0)</f>
        <v>0</v>
      </c>
      <c r="BF327" s="276">
        <f>IF(BB327=4,G327,0)</f>
        <v>0</v>
      </c>
      <c r="BG327" s="276">
        <f>IF(BB327=5,G327,0)</f>
        <v>0</v>
      </c>
      <c r="CA327" s="276">
        <v>1</v>
      </c>
      <c r="CB327" s="276">
        <v>7</v>
      </c>
    </row>
    <row r="328" spans="1:80" s="276" customFormat="1" ht="12">
      <c r="A328" s="538" t="s">
        <v>572</v>
      </c>
      <c r="B328" s="539" t="s">
        <v>704</v>
      </c>
      <c r="C328" s="540" t="s">
        <v>705</v>
      </c>
      <c r="D328" s="541" t="s">
        <v>83</v>
      </c>
      <c r="E328" s="542">
        <v>4</v>
      </c>
      <c r="F328" s="542">
        <v>0</v>
      </c>
      <c r="G328" s="543">
        <f t="shared" si="14"/>
        <v>0</v>
      </c>
      <c r="H328" s="275"/>
      <c r="I328" s="275"/>
      <c r="J328" s="275"/>
      <c r="K328" s="275"/>
      <c r="AA328" s="108"/>
      <c r="AB328" s="108"/>
      <c r="AC328" s="108"/>
      <c r="BB328" s="108"/>
      <c r="BC328" s="108"/>
      <c r="BD328" s="108"/>
      <c r="BE328" s="108"/>
      <c r="BF328" s="108"/>
      <c r="BG328" s="108"/>
      <c r="CA328" s="108"/>
      <c r="CB328" s="108"/>
    </row>
    <row r="329" spans="1:80" s="276" customFormat="1" ht="12">
      <c r="A329" s="538" t="s">
        <v>575</v>
      </c>
      <c r="B329" s="539" t="s">
        <v>1343</v>
      </c>
      <c r="C329" s="540" t="s">
        <v>1344</v>
      </c>
      <c r="D329" s="541" t="s">
        <v>1345</v>
      </c>
      <c r="E329" s="542">
        <v>1</v>
      </c>
      <c r="F329" s="542">
        <v>0</v>
      </c>
      <c r="G329" s="543">
        <f t="shared" si="14"/>
        <v>0</v>
      </c>
      <c r="H329" s="275"/>
      <c r="I329" s="275"/>
      <c r="J329" s="275"/>
      <c r="K329" s="275"/>
      <c r="Q329" s="276">
        <v>2</v>
      </c>
      <c r="BB329" s="276">
        <v>2</v>
      </c>
      <c r="BC329" s="276">
        <f>IF(BB329=1,G329,0)</f>
        <v>0</v>
      </c>
      <c r="BD329" s="277">
        <f>IF(BB329=2,G329,0)</f>
        <v>0</v>
      </c>
      <c r="BE329" s="276">
        <f>IF(BB329=3,G329,0)</f>
        <v>0</v>
      </c>
      <c r="BF329" s="276">
        <f>IF(BB329=4,G329,0)</f>
        <v>0</v>
      </c>
      <c r="BG329" s="276">
        <f>IF(BB329=5,G329,0)</f>
        <v>0</v>
      </c>
      <c r="CA329" s="276">
        <v>1</v>
      </c>
      <c r="CB329" s="276">
        <v>5</v>
      </c>
    </row>
    <row r="330" spans="1:7" ht="12.75" thickBot="1">
      <c r="A330" s="603" t="s">
        <v>578</v>
      </c>
      <c r="B330" s="604" t="s">
        <v>707</v>
      </c>
      <c r="C330" s="605" t="s">
        <v>708</v>
      </c>
      <c r="D330" s="606" t="s">
        <v>358</v>
      </c>
      <c r="E330" s="607">
        <v>0.93</v>
      </c>
      <c r="F330" s="607">
        <v>0</v>
      </c>
      <c r="G330" s="608">
        <f t="shared" si="14"/>
        <v>0</v>
      </c>
    </row>
    <row r="331" spans="1:7" ht="12.75" thickTop="1">
      <c r="A331" s="579"/>
      <c r="B331" s="614"/>
      <c r="C331" s="615" t="s">
        <v>160</v>
      </c>
      <c r="D331" s="616"/>
      <c r="E331" s="617">
        <v>0</v>
      </c>
      <c r="F331" s="617"/>
      <c r="G331" s="618">
        <f>SUM(G325:G330)</f>
        <v>0</v>
      </c>
    </row>
    <row r="332" spans="1:9" s="159" customFormat="1" ht="12">
      <c r="A332" s="514"/>
      <c r="B332" s="552" t="s">
        <v>678</v>
      </c>
      <c r="C332" s="553" t="s">
        <v>27</v>
      </c>
      <c r="D332" s="554"/>
      <c r="E332" s="555"/>
      <c r="F332" s="555"/>
      <c r="G332" s="556"/>
      <c r="H332" s="158"/>
      <c r="I332" s="158"/>
    </row>
    <row r="333" spans="1:56" s="321" customFormat="1" ht="12">
      <c r="A333" s="514" t="s">
        <v>581</v>
      </c>
      <c r="B333" s="557" t="s">
        <v>680</v>
      </c>
      <c r="C333" s="558" t="s">
        <v>681</v>
      </c>
      <c r="D333" s="554" t="s">
        <v>83</v>
      </c>
      <c r="E333" s="555">
        <v>20</v>
      </c>
      <c r="F333" s="555">
        <v>0</v>
      </c>
      <c r="G333" s="559">
        <f aca="true" t="shared" si="15" ref="G333:G338">E333*F333</f>
        <v>0</v>
      </c>
      <c r="H333" s="320"/>
      <c r="I333" s="320"/>
      <c r="J333" s="320"/>
      <c r="K333" s="320"/>
      <c r="BD333" s="322"/>
    </row>
    <row r="334" spans="1:56" s="321" customFormat="1" ht="12">
      <c r="A334" s="514" t="s">
        <v>584</v>
      </c>
      <c r="B334" s="560" t="s">
        <v>683</v>
      </c>
      <c r="C334" s="561" t="s">
        <v>684</v>
      </c>
      <c r="D334" s="562" t="s">
        <v>83</v>
      </c>
      <c r="E334" s="551">
        <v>20</v>
      </c>
      <c r="F334" s="551">
        <v>0</v>
      </c>
      <c r="G334" s="559">
        <f t="shared" si="15"/>
        <v>0</v>
      </c>
      <c r="H334" s="320"/>
      <c r="I334" s="320"/>
      <c r="J334" s="320"/>
      <c r="K334" s="320"/>
      <c r="BD334" s="322"/>
    </row>
    <row r="335" spans="1:56" s="321" customFormat="1" ht="12">
      <c r="A335" s="514" t="s">
        <v>587</v>
      </c>
      <c r="B335" s="560" t="s">
        <v>686</v>
      </c>
      <c r="C335" s="561" t="s">
        <v>687</v>
      </c>
      <c r="D335" s="562" t="s">
        <v>83</v>
      </c>
      <c r="E335" s="551">
        <v>20</v>
      </c>
      <c r="F335" s="551">
        <v>0</v>
      </c>
      <c r="G335" s="559">
        <f t="shared" si="15"/>
        <v>0</v>
      </c>
      <c r="H335" s="320"/>
      <c r="I335" s="320"/>
      <c r="J335" s="320"/>
      <c r="K335" s="320"/>
      <c r="BD335" s="322"/>
    </row>
    <row r="336" spans="1:56" s="321" customFormat="1" ht="12">
      <c r="A336" s="514" t="s">
        <v>590</v>
      </c>
      <c r="B336" s="560" t="s">
        <v>689</v>
      </c>
      <c r="C336" s="561" t="s">
        <v>690</v>
      </c>
      <c r="D336" s="562" t="s">
        <v>83</v>
      </c>
      <c r="E336" s="551">
        <v>20</v>
      </c>
      <c r="F336" s="551">
        <v>0</v>
      </c>
      <c r="G336" s="559">
        <f t="shared" si="15"/>
        <v>0</v>
      </c>
      <c r="H336" s="320"/>
      <c r="I336" s="320"/>
      <c r="J336" s="320"/>
      <c r="K336" s="320"/>
      <c r="BD336" s="322"/>
    </row>
    <row r="337" spans="1:9" s="159" customFormat="1" ht="12">
      <c r="A337" s="514" t="s">
        <v>595</v>
      </c>
      <c r="B337" s="560" t="s">
        <v>689</v>
      </c>
      <c r="C337" s="561" t="s">
        <v>692</v>
      </c>
      <c r="D337" s="562" t="s">
        <v>83</v>
      </c>
      <c r="E337" s="551">
        <v>2</v>
      </c>
      <c r="F337" s="551">
        <v>0</v>
      </c>
      <c r="G337" s="559">
        <f t="shared" si="15"/>
        <v>0</v>
      </c>
      <c r="H337" s="158"/>
      <c r="I337" s="158"/>
    </row>
    <row r="338" spans="1:9" s="159" customFormat="1" ht="12.75" thickBot="1">
      <c r="A338" s="624" t="s">
        <v>597</v>
      </c>
      <c r="B338" s="625" t="s">
        <v>694</v>
      </c>
      <c r="C338" s="626" t="s">
        <v>695</v>
      </c>
      <c r="D338" s="627" t="s">
        <v>555</v>
      </c>
      <c r="E338" s="628">
        <f>SUM(G333:G337)/100</f>
        <v>0</v>
      </c>
      <c r="F338" s="628">
        <v>5</v>
      </c>
      <c r="G338" s="629">
        <f t="shared" si="15"/>
        <v>0</v>
      </c>
      <c r="H338" s="158"/>
      <c r="I338" s="158"/>
    </row>
    <row r="339" spans="1:7" ht="12.75" thickTop="1">
      <c r="A339" s="579"/>
      <c r="B339" s="619"/>
      <c r="C339" s="620" t="s">
        <v>160</v>
      </c>
      <c r="D339" s="621"/>
      <c r="E339" s="622"/>
      <c r="F339" s="622"/>
      <c r="G339" s="623">
        <f>SUM(G333:G338)</f>
        <v>0</v>
      </c>
    </row>
    <row r="340" spans="1:7" ht="12">
      <c r="A340" s="402"/>
      <c r="B340" s="563">
        <v>766</v>
      </c>
      <c r="C340" s="564" t="s">
        <v>29</v>
      </c>
      <c r="D340" s="403"/>
      <c r="E340" s="405"/>
      <c r="F340" s="405"/>
      <c r="G340" s="405"/>
    </row>
    <row r="341" spans="1:7" ht="12">
      <c r="A341" s="514" t="s">
        <v>599</v>
      </c>
      <c r="B341" s="514" t="s">
        <v>723</v>
      </c>
      <c r="C341" s="510" t="s">
        <v>724</v>
      </c>
      <c r="D341" s="514" t="s">
        <v>93</v>
      </c>
      <c r="E341" s="524">
        <v>3.06</v>
      </c>
      <c r="F341" s="517">
        <v>0</v>
      </c>
      <c r="G341" s="524">
        <f>E341*F341</f>
        <v>0</v>
      </c>
    </row>
    <row r="342" spans="1:7" ht="12">
      <c r="A342" s="402"/>
      <c r="B342" s="565" t="s">
        <v>1296</v>
      </c>
      <c r="C342" s="512">
        <f>0.9*1.4</f>
        <v>1.26</v>
      </c>
      <c r="D342" s="402"/>
      <c r="E342" s="406"/>
      <c r="F342" s="528"/>
      <c r="G342" s="406"/>
    </row>
    <row r="343" spans="1:7" ht="12">
      <c r="A343" s="402"/>
      <c r="B343" s="565" t="s">
        <v>1297</v>
      </c>
      <c r="C343" s="512">
        <f>0.9*1.4</f>
        <v>1.26</v>
      </c>
      <c r="D343" s="402"/>
      <c r="E343" s="406"/>
      <c r="F343" s="528"/>
      <c r="G343" s="406"/>
    </row>
    <row r="344" spans="1:9" s="159" customFormat="1" ht="12">
      <c r="A344" s="402"/>
      <c r="B344" s="565" t="s">
        <v>261</v>
      </c>
      <c r="C344" s="512">
        <f>0.6*0.9</f>
        <v>0.54</v>
      </c>
      <c r="D344" s="402"/>
      <c r="E344" s="406"/>
      <c r="F344" s="528"/>
      <c r="G344" s="406"/>
      <c r="H344" s="158"/>
      <c r="I344" s="158"/>
    </row>
    <row r="345" spans="1:9" s="159" customFormat="1" ht="12">
      <c r="A345" s="402"/>
      <c r="B345" s="565"/>
      <c r="C345" s="512">
        <f>SUM(C342:C344)</f>
        <v>3.06</v>
      </c>
      <c r="D345" s="402"/>
      <c r="E345" s="406"/>
      <c r="F345" s="528"/>
      <c r="G345" s="406"/>
      <c r="H345" s="158"/>
      <c r="I345" s="158"/>
    </row>
    <row r="346" spans="1:9" s="159" customFormat="1" ht="12">
      <c r="A346" s="514" t="s">
        <v>602</v>
      </c>
      <c r="B346" s="514" t="s">
        <v>728</v>
      </c>
      <c r="C346" s="510" t="s">
        <v>729</v>
      </c>
      <c r="D346" s="514" t="s">
        <v>104</v>
      </c>
      <c r="E346" s="524">
        <v>13</v>
      </c>
      <c r="F346" s="517">
        <v>0</v>
      </c>
      <c r="G346" s="524">
        <f>PRODUCT(F346*E346)</f>
        <v>0</v>
      </c>
      <c r="H346" s="158"/>
      <c r="I346" s="158"/>
    </row>
    <row r="347" spans="1:9" s="159" customFormat="1" ht="12">
      <c r="A347" s="514"/>
      <c r="B347" s="514"/>
      <c r="C347" s="510" t="s">
        <v>1312</v>
      </c>
      <c r="D347" s="514"/>
      <c r="E347" s="524"/>
      <c r="F347" s="517"/>
      <c r="G347" s="524"/>
      <c r="H347" s="158"/>
      <c r="I347" s="158"/>
    </row>
    <row r="348" spans="1:9" s="159" customFormat="1" ht="12">
      <c r="A348" s="514" t="s">
        <v>605</v>
      </c>
      <c r="B348" s="514">
        <v>611601580</v>
      </c>
      <c r="C348" s="510" t="s">
        <v>731</v>
      </c>
      <c r="D348" s="514" t="s">
        <v>104</v>
      </c>
      <c r="E348" s="524">
        <v>5</v>
      </c>
      <c r="F348" s="517">
        <v>0</v>
      </c>
      <c r="G348" s="524">
        <f>PRODUCT(F348*E348)</f>
        <v>0</v>
      </c>
      <c r="H348" s="158"/>
      <c r="I348" s="158"/>
    </row>
    <row r="349" spans="1:9" s="159" customFormat="1" ht="12">
      <c r="A349" s="514"/>
      <c r="B349" s="514"/>
      <c r="C349" s="510" t="s">
        <v>520</v>
      </c>
      <c r="D349" s="514"/>
      <c r="E349" s="524"/>
      <c r="F349" s="517"/>
      <c r="G349" s="524"/>
      <c r="H349" s="158"/>
      <c r="I349" s="158"/>
    </row>
    <row r="350" spans="1:9" s="159" customFormat="1" ht="12">
      <c r="A350" s="514" t="s">
        <v>608</v>
      </c>
      <c r="B350" s="514">
        <v>611601590</v>
      </c>
      <c r="C350" s="510" t="s">
        <v>734</v>
      </c>
      <c r="D350" s="514" t="s">
        <v>104</v>
      </c>
      <c r="E350" s="524">
        <v>8</v>
      </c>
      <c r="F350" s="517">
        <v>0</v>
      </c>
      <c r="G350" s="524">
        <f>PRODUCT(F350*E350)</f>
        <v>0</v>
      </c>
      <c r="H350" s="158"/>
      <c r="I350" s="158"/>
    </row>
    <row r="351" spans="1:9" s="159" customFormat="1" ht="12">
      <c r="A351" s="514"/>
      <c r="B351" s="514"/>
      <c r="C351" s="510" t="s">
        <v>1313</v>
      </c>
      <c r="D351" s="514"/>
      <c r="E351" s="524"/>
      <c r="F351" s="517"/>
      <c r="G351" s="524"/>
      <c r="H351" s="158"/>
      <c r="I351" s="158"/>
    </row>
    <row r="352" spans="1:9" s="159" customFormat="1" ht="12">
      <c r="A352" s="514" t="s">
        <v>611</v>
      </c>
      <c r="B352" s="514" t="s">
        <v>745</v>
      </c>
      <c r="C352" s="510" t="s">
        <v>746</v>
      </c>
      <c r="D352" s="514" t="s">
        <v>104</v>
      </c>
      <c r="E352" s="524">
        <v>3</v>
      </c>
      <c r="F352" s="517">
        <v>0</v>
      </c>
      <c r="G352" s="524">
        <f>PRODUCT(F352*E352)</f>
        <v>0</v>
      </c>
      <c r="H352" s="158"/>
      <c r="I352" s="158"/>
    </row>
    <row r="353" spans="1:9" s="159" customFormat="1" ht="12">
      <c r="A353" s="514"/>
      <c r="B353" s="514"/>
      <c r="C353" s="510" t="s">
        <v>446</v>
      </c>
      <c r="D353" s="514"/>
      <c r="E353" s="524"/>
      <c r="F353" s="517"/>
      <c r="G353" s="524"/>
      <c r="H353" s="158"/>
      <c r="I353" s="158"/>
    </row>
    <row r="354" spans="1:9" s="159" customFormat="1" ht="12">
      <c r="A354" s="514" t="s">
        <v>615</v>
      </c>
      <c r="B354" s="514">
        <v>611653100</v>
      </c>
      <c r="C354" s="510" t="s">
        <v>748</v>
      </c>
      <c r="D354" s="514" t="s">
        <v>104</v>
      </c>
      <c r="E354" s="524">
        <v>3</v>
      </c>
      <c r="F354" s="517">
        <v>0</v>
      </c>
      <c r="G354" s="524">
        <f>PRODUCT(F354*E354)</f>
        <v>0</v>
      </c>
      <c r="H354" s="158"/>
      <c r="I354" s="158"/>
    </row>
    <row r="355" spans="1:9" s="159" customFormat="1" ht="12">
      <c r="A355" s="514"/>
      <c r="B355" s="514"/>
      <c r="C355" s="510" t="s">
        <v>446</v>
      </c>
      <c r="D355" s="514"/>
      <c r="E355" s="524"/>
      <c r="F355" s="517"/>
      <c r="G355" s="524"/>
      <c r="H355" s="158"/>
      <c r="I355" s="158"/>
    </row>
    <row r="356" spans="1:8" s="345" customFormat="1" ht="12">
      <c r="A356" s="566" t="s">
        <v>618</v>
      </c>
      <c r="B356" s="567" t="s">
        <v>488</v>
      </c>
      <c r="C356" s="568" t="s">
        <v>1314</v>
      </c>
      <c r="D356" s="569" t="s">
        <v>157</v>
      </c>
      <c r="E356" s="570">
        <v>2.4</v>
      </c>
      <c r="F356" s="571">
        <v>0</v>
      </c>
      <c r="G356" s="572">
        <f>PRODUCT(F356*E356)</f>
        <v>0</v>
      </c>
      <c r="H356" s="426"/>
    </row>
    <row r="357" spans="1:7" ht="12">
      <c r="A357" s="566"/>
      <c r="B357" s="567"/>
      <c r="C357" s="568" t="s">
        <v>1315</v>
      </c>
      <c r="D357" s="569"/>
      <c r="E357" s="570"/>
      <c r="F357" s="571"/>
      <c r="G357" s="572"/>
    </row>
    <row r="358" spans="1:7" ht="12">
      <c r="A358" s="402" t="s">
        <v>621</v>
      </c>
      <c r="B358" s="504" t="s">
        <v>766</v>
      </c>
      <c r="C358" s="404" t="s">
        <v>767</v>
      </c>
      <c r="D358" s="403" t="s">
        <v>555</v>
      </c>
      <c r="E358" s="405">
        <f>SUM(G341:G357)/100</f>
        <v>0</v>
      </c>
      <c r="F358" s="405">
        <v>4</v>
      </c>
      <c r="G358" s="406">
        <f>ROUND(PRODUCT(E358*F358),0)</f>
        <v>0</v>
      </c>
    </row>
    <row r="359" spans="1:7" ht="12.75" thickBot="1">
      <c r="A359" s="584" t="s">
        <v>624</v>
      </c>
      <c r="B359" s="598" t="s">
        <v>766</v>
      </c>
      <c r="C359" s="593" t="s">
        <v>769</v>
      </c>
      <c r="D359" s="591" t="s">
        <v>555</v>
      </c>
      <c r="E359" s="594">
        <f>SUM(G341:G356)/100</f>
        <v>0</v>
      </c>
      <c r="F359" s="594">
        <v>2</v>
      </c>
      <c r="G359" s="588">
        <f>ROUND(PRODUCT(E359*F359),0)</f>
        <v>0</v>
      </c>
    </row>
    <row r="360" spans="1:7" ht="12.75" thickTop="1">
      <c r="A360" s="579"/>
      <c r="B360" s="630"/>
      <c r="C360" s="631" t="s">
        <v>160</v>
      </c>
      <c r="D360" s="630"/>
      <c r="E360" s="632"/>
      <c r="F360" s="632"/>
      <c r="G360" s="633">
        <f>SUM(G340:G359)</f>
        <v>0</v>
      </c>
    </row>
    <row r="361" spans="1:7" ht="12">
      <c r="A361" s="402"/>
      <c r="B361" s="496">
        <v>771</v>
      </c>
      <c r="C361" s="501" t="s">
        <v>31</v>
      </c>
      <c r="D361" s="496"/>
      <c r="E361" s="502"/>
      <c r="F361" s="502"/>
      <c r="G361" s="502"/>
    </row>
    <row r="362" spans="1:7" ht="12">
      <c r="A362" s="402" t="s">
        <v>627</v>
      </c>
      <c r="B362" s="403" t="s">
        <v>814</v>
      </c>
      <c r="C362" s="404" t="s">
        <v>815</v>
      </c>
      <c r="D362" s="403" t="s">
        <v>93</v>
      </c>
      <c r="E362" s="405">
        <v>65.15</v>
      </c>
      <c r="F362" s="405">
        <v>0</v>
      </c>
      <c r="G362" s="406">
        <f>PRODUCT(F362*E362)</f>
        <v>0</v>
      </c>
    </row>
    <row r="363" spans="1:7" ht="12">
      <c r="A363" s="402"/>
      <c r="B363" s="500" t="s">
        <v>261</v>
      </c>
      <c r="C363" s="404">
        <f>(2.18*1)+(1.33*1.4)+(0.6*0.3)</f>
        <v>4.2219999999999995</v>
      </c>
      <c r="D363" s="403"/>
      <c r="E363" s="405"/>
      <c r="F363" s="405"/>
      <c r="G363" s="406"/>
    </row>
    <row r="364" spans="1:7" ht="12">
      <c r="A364" s="402"/>
      <c r="B364" s="500" t="s">
        <v>128</v>
      </c>
      <c r="C364" s="404">
        <f>(4.58*4.37)+(1.9*0.3+3*0.3+1*0.3)</f>
        <v>21.7846</v>
      </c>
      <c r="D364" s="403"/>
      <c r="E364" s="405"/>
      <c r="F364" s="405"/>
      <c r="G364" s="406"/>
    </row>
    <row r="365" spans="1:7" ht="12">
      <c r="A365" s="402"/>
      <c r="B365" s="500" t="s">
        <v>1293</v>
      </c>
      <c r="C365" s="404">
        <f>(3.48*4.37)+(2.3*0.35+1.8*0.35+2.3*0.35+1*0.35)</f>
        <v>17.797600000000003</v>
      </c>
      <c r="D365" s="403"/>
      <c r="E365" s="405"/>
      <c r="F365" s="405"/>
      <c r="G365" s="406"/>
    </row>
    <row r="366" spans="1:7" ht="12">
      <c r="A366" s="402"/>
      <c r="B366" s="500" t="s">
        <v>1296</v>
      </c>
      <c r="C366" s="404">
        <f>(1.92*1.975+0.5*1.38)+(0.9*0.3)</f>
        <v>4.751999999999999</v>
      </c>
      <c r="D366" s="403"/>
      <c r="E366" s="405"/>
      <c r="F366" s="405"/>
      <c r="G366" s="406"/>
    </row>
    <row r="367" spans="1:7" ht="12">
      <c r="A367" s="402"/>
      <c r="B367" s="500" t="s">
        <v>1297</v>
      </c>
      <c r="C367" s="404">
        <f>(2.3*0.91)+(0.9*0.3)</f>
        <v>2.363</v>
      </c>
      <c r="D367" s="403"/>
      <c r="E367" s="405"/>
      <c r="F367" s="405"/>
      <c r="G367" s="406"/>
    </row>
    <row r="368" spans="1:7" ht="12">
      <c r="A368" s="402"/>
      <c r="B368" s="500" t="s">
        <v>1298</v>
      </c>
      <c r="C368" s="404">
        <f>(2.3*0.91)</f>
        <v>2.093</v>
      </c>
      <c r="D368" s="403"/>
      <c r="E368" s="405"/>
      <c r="F368" s="405"/>
      <c r="G368" s="406"/>
    </row>
    <row r="369" spans="1:7" ht="12">
      <c r="A369" s="402"/>
      <c r="B369" s="500" t="s">
        <v>1299</v>
      </c>
      <c r="C369" s="404">
        <f>(2.4*2.57)</f>
        <v>6.167999999999999</v>
      </c>
      <c r="D369" s="403"/>
      <c r="E369" s="405"/>
      <c r="F369" s="405"/>
      <c r="G369" s="406"/>
    </row>
    <row r="370" spans="1:7" ht="12">
      <c r="A370" s="402"/>
      <c r="B370" s="500" t="s">
        <v>1300</v>
      </c>
      <c r="C370" s="404">
        <f>(2.57*1.1)</f>
        <v>2.827</v>
      </c>
      <c r="D370" s="403"/>
      <c r="E370" s="405"/>
      <c r="F370" s="405"/>
      <c r="G370" s="406"/>
    </row>
    <row r="371" spans="1:7" ht="12">
      <c r="A371" s="402"/>
      <c r="B371" s="500" t="s">
        <v>1301</v>
      </c>
      <c r="C371" s="404">
        <f>(1.75*3.05)+(1.35*1.3)+(0.9*0.3)</f>
        <v>7.362499999999999</v>
      </c>
      <c r="D371" s="403"/>
      <c r="E371" s="405"/>
      <c r="F371" s="405"/>
      <c r="G371" s="406"/>
    </row>
    <row r="372" spans="1:7" ht="12">
      <c r="A372" s="402"/>
      <c r="B372" s="403"/>
      <c r="C372" s="404">
        <f>SUM(C364:C371)</f>
        <v>65.1477</v>
      </c>
      <c r="D372" s="403"/>
      <c r="E372" s="405"/>
      <c r="F372" s="405"/>
      <c r="G372" s="406"/>
    </row>
    <row r="373" spans="1:7" ht="12">
      <c r="A373" s="402" t="s">
        <v>630</v>
      </c>
      <c r="B373" s="403" t="s">
        <v>817</v>
      </c>
      <c r="C373" s="404" t="s">
        <v>818</v>
      </c>
      <c r="D373" s="403" t="s">
        <v>93</v>
      </c>
      <c r="E373" s="405">
        <v>16.3</v>
      </c>
      <c r="F373" s="405">
        <v>0</v>
      </c>
      <c r="G373" s="406">
        <f>E373*F373</f>
        <v>0</v>
      </c>
    </row>
    <row r="374" spans="1:7" ht="12">
      <c r="A374" s="402"/>
      <c r="B374" s="500" t="s">
        <v>261</v>
      </c>
      <c r="C374" s="404">
        <f>(2.18*1)+(1.33*1.4)+(0.6*0.3)</f>
        <v>4.2219999999999995</v>
      </c>
      <c r="D374" s="403"/>
      <c r="E374" s="405"/>
      <c r="F374" s="405"/>
      <c r="G374" s="406"/>
    </row>
    <row r="375" spans="1:7" ht="12">
      <c r="A375" s="402"/>
      <c r="B375" s="500" t="s">
        <v>1296</v>
      </c>
      <c r="C375" s="404">
        <f>(1.92*1.975+0.5*1.38)+(0.9*0.3)</f>
        <v>4.751999999999999</v>
      </c>
      <c r="D375" s="403"/>
      <c r="E375" s="405"/>
      <c r="F375" s="405"/>
      <c r="G375" s="406"/>
    </row>
    <row r="376" spans="1:7" ht="12">
      <c r="A376" s="402"/>
      <c r="B376" s="500" t="s">
        <v>1297</v>
      </c>
      <c r="C376" s="404">
        <f>(2.3*0.91)+(0.9*0.3)</f>
        <v>2.363</v>
      </c>
      <c r="D376" s="403"/>
      <c r="E376" s="405"/>
      <c r="F376" s="405"/>
      <c r="G376" s="406"/>
    </row>
    <row r="377" spans="1:7" ht="12">
      <c r="A377" s="402"/>
      <c r="B377" s="500" t="s">
        <v>1298</v>
      </c>
      <c r="C377" s="404">
        <f>(2.3*0.91)</f>
        <v>2.093</v>
      </c>
      <c r="D377" s="403"/>
      <c r="E377" s="405"/>
      <c r="F377" s="405"/>
      <c r="G377" s="406"/>
    </row>
    <row r="378" spans="1:7" ht="12">
      <c r="A378" s="402"/>
      <c r="B378" s="500" t="s">
        <v>1300</v>
      </c>
      <c r="C378" s="404">
        <f>(2.57*1.1)</f>
        <v>2.827</v>
      </c>
      <c r="D378" s="403"/>
      <c r="E378" s="405"/>
      <c r="F378" s="405"/>
      <c r="G378" s="406"/>
    </row>
    <row r="379" spans="1:7" ht="12">
      <c r="A379" s="402"/>
      <c r="B379" s="403"/>
      <c r="C379" s="404">
        <f>SUM(C374:C378)</f>
        <v>16.256999999999998</v>
      </c>
      <c r="D379" s="403"/>
      <c r="E379" s="405"/>
      <c r="F379" s="405"/>
      <c r="G379" s="406"/>
    </row>
    <row r="380" spans="1:7" ht="12">
      <c r="A380" s="402" t="s">
        <v>633</v>
      </c>
      <c r="B380" s="402" t="s">
        <v>821</v>
      </c>
      <c r="C380" s="415" t="s">
        <v>822</v>
      </c>
      <c r="D380" s="402" t="s">
        <v>93</v>
      </c>
      <c r="E380" s="520">
        <v>7.3</v>
      </c>
      <c r="F380" s="499">
        <v>0</v>
      </c>
      <c r="G380" s="528">
        <f>PRODUCT(E380:F380)</f>
        <v>0</v>
      </c>
    </row>
    <row r="381" spans="1:7" ht="12">
      <c r="A381" s="402"/>
      <c r="B381" s="500" t="s">
        <v>1297</v>
      </c>
      <c r="C381" s="404">
        <f>(2.3*0.91)+(0.9*0.3)</f>
        <v>2.363</v>
      </c>
      <c r="D381" s="403"/>
      <c r="E381" s="405"/>
      <c r="F381" s="405"/>
      <c r="G381" s="406"/>
    </row>
    <row r="382" spans="1:7" ht="12">
      <c r="A382" s="402"/>
      <c r="B382" s="500" t="s">
        <v>1298</v>
      </c>
      <c r="C382" s="404">
        <f>(2.3*0.91)</f>
        <v>2.093</v>
      </c>
      <c r="D382" s="403"/>
      <c r="E382" s="405"/>
      <c r="F382" s="405"/>
      <c r="G382" s="406"/>
    </row>
    <row r="383" spans="1:7" ht="12">
      <c r="A383" s="402"/>
      <c r="B383" s="500" t="s">
        <v>1300</v>
      </c>
      <c r="C383" s="404">
        <f>(2.57*1.1)</f>
        <v>2.827</v>
      </c>
      <c r="D383" s="403"/>
      <c r="E383" s="405"/>
      <c r="F383" s="405"/>
      <c r="G383" s="406"/>
    </row>
    <row r="384" spans="1:7" ht="12">
      <c r="A384" s="402"/>
      <c r="B384" s="500"/>
      <c r="C384" s="404">
        <f>SUM(C381:C383)</f>
        <v>7.2829999999999995</v>
      </c>
      <c r="D384" s="403"/>
      <c r="E384" s="405"/>
      <c r="F384" s="405"/>
      <c r="G384" s="406"/>
    </row>
    <row r="385" spans="1:9" s="159" customFormat="1" ht="12">
      <c r="A385" s="402" t="s">
        <v>636</v>
      </c>
      <c r="B385" s="403" t="s">
        <v>824</v>
      </c>
      <c r="C385" s="404" t="s">
        <v>825</v>
      </c>
      <c r="D385" s="403" t="s">
        <v>157</v>
      </c>
      <c r="E385" s="405">
        <v>70.58</v>
      </c>
      <c r="F385" s="405">
        <v>0</v>
      </c>
      <c r="G385" s="406">
        <f>PRODUCT(F385*E385)</f>
        <v>0</v>
      </c>
      <c r="H385" s="158"/>
      <c r="I385" s="158"/>
    </row>
    <row r="386" spans="1:9" s="159" customFormat="1" ht="12">
      <c r="A386" s="514"/>
      <c r="B386" s="526" t="s">
        <v>195</v>
      </c>
      <c r="C386" s="522">
        <f>(3.15+2.9)*2</f>
        <v>12.1</v>
      </c>
      <c r="D386" s="521"/>
      <c r="E386" s="523"/>
      <c r="F386" s="523"/>
      <c r="G386" s="524"/>
      <c r="H386" s="158"/>
      <c r="I386" s="158"/>
    </row>
    <row r="387" spans="1:9" s="159" customFormat="1" ht="12">
      <c r="A387" s="514"/>
      <c r="B387" s="526" t="s">
        <v>128</v>
      </c>
      <c r="C387" s="522">
        <f>(4.58+4.37)*2</f>
        <v>17.9</v>
      </c>
      <c r="D387" s="521"/>
      <c r="E387" s="523"/>
      <c r="F387" s="523"/>
      <c r="G387" s="524"/>
      <c r="H387" s="158"/>
      <c r="I387" s="158"/>
    </row>
    <row r="388" spans="1:9" s="159" customFormat="1" ht="12">
      <c r="A388" s="514"/>
      <c r="B388" s="526" t="s">
        <v>1293</v>
      </c>
      <c r="C388" s="522">
        <f>(3.48+4.37)*2</f>
        <v>15.7</v>
      </c>
      <c r="D388" s="521"/>
      <c r="E388" s="523"/>
      <c r="F388" s="523"/>
      <c r="G388" s="524"/>
      <c r="H388" s="158"/>
      <c r="I388" s="158"/>
    </row>
    <row r="389" spans="1:7" ht="12">
      <c r="A389" s="514"/>
      <c r="B389" s="526" t="s">
        <v>1299</v>
      </c>
      <c r="C389" s="522">
        <f>(2.4+2.57)*2-3.6</f>
        <v>6.34</v>
      </c>
      <c r="D389" s="521"/>
      <c r="E389" s="523"/>
      <c r="F389" s="523"/>
      <c r="G389" s="524"/>
    </row>
    <row r="390" spans="1:7" ht="12">
      <c r="A390" s="514"/>
      <c r="B390" s="526" t="s">
        <v>1300</v>
      </c>
      <c r="C390" s="522">
        <f>(2.57+2.57+1.1)</f>
        <v>6.24</v>
      </c>
      <c r="D390" s="521"/>
      <c r="E390" s="523"/>
      <c r="F390" s="523"/>
      <c r="G390" s="524"/>
    </row>
    <row r="391" spans="1:7" ht="12">
      <c r="A391" s="514"/>
      <c r="B391" s="526" t="s">
        <v>1301</v>
      </c>
      <c r="C391" s="522">
        <f>(3.1+3.05)*2</f>
        <v>12.3</v>
      </c>
      <c r="D391" s="521"/>
      <c r="E391" s="523"/>
      <c r="F391" s="523"/>
      <c r="G391" s="524"/>
    </row>
    <row r="392" spans="1:7" ht="12">
      <c r="A392" s="402"/>
      <c r="B392" s="403"/>
      <c r="C392" s="404">
        <f>SUM(C386:C391)</f>
        <v>70.58000000000001</v>
      </c>
      <c r="D392" s="403"/>
      <c r="E392" s="405"/>
      <c r="F392" s="405"/>
      <c r="G392" s="406"/>
    </row>
    <row r="393" spans="1:7" ht="12">
      <c r="A393" s="402" t="s">
        <v>639</v>
      </c>
      <c r="B393" s="403" t="s">
        <v>827</v>
      </c>
      <c r="C393" s="404" t="s">
        <v>828</v>
      </c>
      <c r="D393" s="403" t="s">
        <v>93</v>
      </c>
      <c r="E393" s="405">
        <v>65.15</v>
      </c>
      <c r="F393" s="405">
        <v>0</v>
      </c>
      <c r="G393" s="406">
        <f>E393*F393</f>
        <v>0</v>
      </c>
    </row>
    <row r="394" spans="1:7" ht="12">
      <c r="A394" s="402"/>
      <c r="B394" s="500" t="s">
        <v>261</v>
      </c>
      <c r="C394" s="404">
        <f>(2.18*1)+(1.33*1.4)+(0.6*0.3)</f>
        <v>4.2219999999999995</v>
      </c>
      <c r="D394" s="403"/>
      <c r="E394" s="405"/>
      <c r="F394" s="405"/>
      <c r="G394" s="406"/>
    </row>
    <row r="395" spans="1:7" ht="12">
      <c r="A395" s="402"/>
      <c r="B395" s="500" t="s">
        <v>128</v>
      </c>
      <c r="C395" s="404">
        <f>(4.58*4.37)+(1.9*0.3+3*0.3+1*0.3)</f>
        <v>21.7846</v>
      </c>
      <c r="D395" s="403"/>
      <c r="E395" s="405"/>
      <c r="F395" s="405"/>
      <c r="G395" s="406"/>
    </row>
    <row r="396" spans="1:7" ht="12">
      <c r="A396" s="402"/>
      <c r="B396" s="500" t="s">
        <v>1293</v>
      </c>
      <c r="C396" s="404">
        <f>(3.48*4.37)+(2.3*0.35+1.8*0.35+2.3*0.35+1*0.35)</f>
        <v>17.797600000000003</v>
      </c>
      <c r="D396" s="403"/>
      <c r="E396" s="405"/>
      <c r="F396" s="405"/>
      <c r="G396" s="406"/>
    </row>
    <row r="397" spans="1:7" ht="12">
      <c r="A397" s="402"/>
      <c r="B397" s="500" t="s">
        <v>1296</v>
      </c>
      <c r="C397" s="404">
        <f>(1.92*1.975+0.5*1.38)+(0.9*0.3)</f>
        <v>4.751999999999999</v>
      </c>
      <c r="D397" s="403"/>
      <c r="E397" s="405"/>
      <c r="F397" s="405"/>
      <c r="G397" s="406"/>
    </row>
    <row r="398" spans="1:7" ht="12">
      <c r="A398" s="402"/>
      <c r="B398" s="500" t="s">
        <v>1297</v>
      </c>
      <c r="C398" s="404">
        <f>(2.3*0.91)+(0.9*0.3)</f>
        <v>2.363</v>
      </c>
      <c r="D398" s="403"/>
      <c r="E398" s="405"/>
      <c r="F398" s="405"/>
      <c r="G398" s="406"/>
    </row>
    <row r="399" spans="1:7" ht="12">
      <c r="A399" s="402"/>
      <c r="B399" s="500" t="s">
        <v>1298</v>
      </c>
      <c r="C399" s="404">
        <f>(2.3*0.91)</f>
        <v>2.093</v>
      </c>
      <c r="D399" s="403"/>
      <c r="E399" s="405"/>
      <c r="F399" s="405"/>
      <c r="G399" s="406"/>
    </row>
    <row r="400" spans="1:7" ht="12">
      <c r="A400" s="402"/>
      <c r="B400" s="500" t="s">
        <v>1299</v>
      </c>
      <c r="C400" s="404">
        <f>(2.4*2.57)</f>
        <v>6.167999999999999</v>
      </c>
      <c r="D400" s="403"/>
      <c r="E400" s="405"/>
      <c r="F400" s="405"/>
      <c r="G400" s="406"/>
    </row>
    <row r="401" spans="1:7" ht="12">
      <c r="A401" s="402"/>
      <c r="B401" s="500" t="s">
        <v>1300</v>
      </c>
      <c r="C401" s="404">
        <f>(2.57*1.1)</f>
        <v>2.827</v>
      </c>
      <c r="D401" s="403"/>
      <c r="E401" s="405"/>
      <c r="F401" s="405"/>
      <c r="G401" s="406"/>
    </row>
    <row r="402" spans="1:7" ht="12">
      <c r="A402" s="402"/>
      <c r="B402" s="500" t="s">
        <v>1301</v>
      </c>
      <c r="C402" s="404">
        <f>(1.75*3.05)+(1.35*1.3)+(0.9*0.3)</f>
        <v>7.362499999999999</v>
      </c>
      <c r="D402" s="403"/>
      <c r="E402" s="405"/>
      <c r="F402" s="405"/>
      <c r="G402" s="406"/>
    </row>
    <row r="403" spans="1:7" ht="12">
      <c r="A403" s="402"/>
      <c r="B403" s="403"/>
      <c r="C403" s="404">
        <f>SUM(C395:C402)</f>
        <v>65.1477</v>
      </c>
      <c r="D403" s="403"/>
      <c r="E403" s="405"/>
      <c r="F403" s="405"/>
      <c r="G403" s="406"/>
    </row>
    <row r="404" spans="1:7" ht="12">
      <c r="A404" s="402" t="s">
        <v>642</v>
      </c>
      <c r="B404" s="403" t="s">
        <v>831</v>
      </c>
      <c r="C404" s="404" t="s">
        <v>832</v>
      </c>
      <c r="D404" s="403" t="s">
        <v>157</v>
      </c>
      <c r="E404" s="499">
        <v>12.3</v>
      </c>
      <c r="F404" s="405">
        <v>0</v>
      </c>
      <c r="G404" s="406">
        <f>E404*F404</f>
        <v>0</v>
      </c>
    </row>
    <row r="405" spans="1:7" ht="12">
      <c r="A405" s="402"/>
      <c r="B405" s="403"/>
      <c r="C405" s="404">
        <f>0.7*5+0.8*11</f>
        <v>12.3</v>
      </c>
      <c r="D405" s="403"/>
      <c r="E405" s="499"/>
      <c r="F405" s="405"/>
      <c r="G405" s="406"/>
    </row>
    <row r="406" spans="1:7" ht="12">
      <c r="A406" s="402" t="s">
        <v>645</v>
      </c>
      <c r="B406" s="403" t="s">
        <v>834</v>
      </c>
      <c r="C406" s="404" t="s">
        <v>835</v>
      </c>
      <c r="D406" s="403" t="s">
        <v>93</v>
      </c>
      <c r="E406" s="405">
        <v>79.43</v>
      </c>
      <c r="F406" s="405">
        <v>0</v>
      </c>
      <c r="G406" s="406">
        <f>PRODUCT(F406*E406)</f>
        <v>0</v>
      </c>
    </row>
    <row r="407" spans="1:9" s="159" customFormat="1" ht="12">
      <c r="A407" s="402"/>
      <c r="B407" s="403"/>
      <c r="C407" s="403">
        <f>(70.6*0.1+65.15)*1.1</f>
        <v>79.43100000000001</v>
      </c>
      <c r="D407" s="403"/>
      <c r="E407" s="405"/>
      <c r="F407" s="405"/>
      <c r="G407" s="406"/>
      <c r="H407" s="158"/>
      <c r="I407" s="158"/>
    </row>
    <row r="408" spans="1:7" ht="12">
      <c r="A408" s="514" t="s">
        <v>648</v>
      </c>
      <c r="B408" s="532" t="s">
        <v>837</v>
      </c>
      <c r="C408" s="522" t="s">
        <v>838</v>
      </c>
      <c r="D408" s="514" t="s">
        <v>555</v>
      </c>
      <c r="E408" s="524">
        <f>SUM(G362:G407)/100</f>
        <v>0</v>
      </c>
      <c r="F408" s="517">
        <v>9</v>
      </c>
      <c r="G408" s="518">
        <f>E408*F408</f>
        <v>0</v>
      </c>
    </row>
    <row r="409" spans="1:7" ht="12.75" thickBot="1">
      <c r="A409" s="584" t="s">
        <v>651</v>
      </c>
      <c r="B409" s="598" t="s">
        <v>840</v>
      </c>
      <c r="C409" s="593" t="s">
        <v>841</v>
      </c>
      <c r="D409" s="591" t="s">
        <v>555</v>
      </c>
      <c r="E409" s="594">
        <f>SUM(G362:G407)/100</f>
        <v>0</v>
      </c>
      <c r="F409" s="594">
        <v>4</v>
      </c>
      <c r="G409" s="588">
        <f>ROUND(PRODUCT(E409*F409),0)</f>
        <v>0</v>
      </c>
    </row>
    <row r="410" spans="1:7" ht="12.75" thickTop="1">
      <c r="A410" s="579"/>
      <c r="B410" s="589"/>
      <c r="C410" s="581" t="s">
        <v>160</v>
      </c>
      <c r="D410" s="589"/>
      <c r="E410" s="590"/>
      <c r="F410" s="590"/>
      <c r="G410" s="590">
        <f>SUM(G361:G409)</f>
        <v>0</v>
      </c>
    </row>
    <row r="411" spans="1:7" ht="12">
      <c r="A411" s="402"/>
      <c r="B411" s="496">
        <v>776</v>
      </c>
      <c r="C411" s="501" t="s">
        <v>32</v>
      </c>
      <c r="D411" s="496"/>
      <c r="E411" s="502"/>
      <c r="F411" s="502"/>
      <c r="G411" s="502"/>
    </row>
    <row r="412" spans="1:7" ht="12">
      <c r="A412" s="402" t="s">
        <v>654</v>
      </c>
      <c r="B412" s="403" t="s">
        <v>843</v>
      </c>
      <c r="C412" s="404" t="s">
        <v>844</v>
      </c>
      <c r="D412" s="403" t="s">
        <v>93</v>
      </c>
      <c r="E412" s="405">
        <v>54.5</v>
      </c>
      <c r="F412" s="405">
        <v>0</v>
      </c>
      <c r="G412" s="406">
        <f>PRODUCT(F412*E412)</f>
        <v>0</v>
      </c>
    </row>
    <row r="413" spans="1:7" ht="12">
      <c r="A413" s="402"/>
      <c r="B413" s="500" t="s">
        <v>1294</v>
      </c>
      <c r="C413" s="404">
        <f>(4.955*1.41)+(6.35*4.245)+(1.2+2.1)*0.3+(1.15+1.15)*0.75+(1+1)*0.35</f>
        <v>37.3573</v>
      </c>
      <c r="D413" s="403"/>
      <c r="E413" s="405"/>
      <c r="F413" s="405"/>
      <c r="G413" s="406"/>
    </row>
    <row r="414" spans="1:7" ht="12">
      <c r="A414" s="402"/>
      <c r="B414" s="500" t="s">
        <v>1295</v>
      </c>
      <c r="C414" s="404">
        <f>(1.41*1.43)+(2.65*2.57)+(2.88*2.29)+(1.15*0.75+1*0.45+1.15*0.35)</f>
        <v>17.137</v>
      </c>
      <c r="D414" s="403"/>
      <c r="E414" s="405"/>
      <c r="F414" s="405"/>
      <c r="G414" s="406"/>
    </row>
    <row r="415" spans="1:7" ht="12">
      <c r="A415" s="402"/>
      <c r="B415" s="573"/>
      <c r="C415" s="404">
        <f>SUM(C413:C414)</f>
        <v>54.4943</v>
      </c>
      <c r="D415" s="403"/>
      <c r="E415" s="405"/>
      <c r="F415" s="405"/>
      <c r="G415" s="406"/>
    </row>
    <row r="416" spans="1:7" ht="12">
      <c r="A416" s="402" t="s">
        <v>657</v>
      </c>
      <c r="B416" s="403" t="s">
        <v>846</v>
      </c>
      <c r="C416" s="404" t="s">
        <v>847</v>
      </c>
      <c r="D416" s="403" t="s">
        <v>93</v>
      </c>
      <c r="E416" s="405">
        <v>54.5</v>
      </c>
      <c r="F416" s="405">
        <v>0</v>
      </c>
      <c r="G416" s="406">
        <f>PRODUCT(F416*E416)</f>
        <v>0</v>
      </c>
    </row>
    <row r="417" spans="1:7" ht="12">
      <c r="A417" s="402"/>
      <c r="B417" s="500" t="s">
        <v>1294</v>
      </c>
      <c r="C417" s="404">
        <f>(4.955*1.41)+(6.35*4.245)+(1.2+2.1)*0.3+(1.15+1.15)*0.75+(1+1)*0.35</f>
        <v>37.3573</v>
      </c>
      <c r="D417" s="403"/>
      <c r="E417" s="405"/>
      <c r="F417" s="405"/>
      <c r="G417" s="406"/>
    </row>
    <row r="418" spans="1:7" ht="12">
      <c r="A418" s="402"/>
      <c r="B418" s="500" t="s">
        <v>1295</v>
      </c>
      <c r="C418" s="404">
        <f>(1.41*1.43)+(2.65*2.57)+(2.88*2.29)+(1.15*0.75+1*0.45+1.15*0.35)</f>
        <v>17.137</v>
      </c>
      <c r="D418" s="403"/>
      <c r="E418" s="405"/>
      <c r="F418" s="405"/>
      <c r="G418" s="406"/>
    </row>
    <row r="419" spans="1:7" ht="12">
      <c r="A419" s="402"/>
      <c r="B419" s="573"/>
      <c r="C419" s="404">
        <f>SUM(C417:C418)</f>
        <v>54.4943</v>
      </c>
      <c r="D419" s="403"/>
      <c r="E419" s="405"/>
      <c r="F419" s="405"/>
      <c r="G419" s="406"/>
    </row>
    <row r="420" spans="1:7" ht="12">
      <c r="A420" s="402" t="s">
        <v>660</v>
      </c>
      <c r="B420" s="403" t="s">
        <v>859</v>
      </c>
      <c r="C420" s="404" t="s">
        <v>860</v>
      </c>
      <c r="D420" s="403" t="s">
        <v>93</v>
      </c>
      <c r="E420" s="405">
        <v>54.5</v>
      </c>
      <c r="F420" s="405">
        <v>0</v>
      </c>
      <c r="G420" s="406">
        <f>PRODUCT(F420*E420)</f>
        <v>0</v>
      </c>
    </row>
    <row r="421" spans="1:7" ht="12">
      <c r="A421" s="402"/>
      <c r="B421" s="500" t="s">
        <v>1294</v>
      </c>
      <c r="C421" s="404">
        <f>(4.955*1.41)+(6.35*4.245)+(1.2+2.1)*0.3+(1.15+1.15)*0.75+(1+1)*0.35</f>
        <v>37.3573</v>
      </c>
      <c r="D421" s="403"/>
      <c r="E421" s="405"/>
      <c r="F421" s="405"/>
      <c r="G421" s="406"/>
    </row>
    <row r="422" spans="1:7" ht="12">
      <c r="A422" s="402"/>
      <c r="B422" s="500" t="s">
        <v>1295</v>
      </c>
      <c r="C422" s="404">
        <f>(1.41*1.43)+(2.65*2.57)+(2.88*2.29)+(1.15*0.75+1*0.45+1.15*0.35)</f>
        <v>17.137</v>
      </c>
      <c r="D422" s="403"/>
      <c r="E422" s="405"/>
      <c r="F422" s="405"/>
      <c r="G422" s="406"/>
    </row>
    <row r="423" spans="1:7" ht="12">
      <c r="A423" s="402"/>
      <c r="B423" s="573"/>
      <c r="C423" s="404">
        <f>SUM(C421:C422)</f>
        <v>54.4943</v>
      </c>
      <c r="D423" s="403"/>
      <c r="E423" s="405"/>
      <c r="F423" s="405"/>
      <c r="G423" s="406"/>
    </row>
    <row r="424" spans="1:7" ht="12">
      <c r="A424" s="402" t="s">
        <v>664</v>
      </c>
      <c r="B424" s="403" t="s">
        <v>862</v>
      </c>
      <c r="C424" s="404" t="s">
        <v>863</v>
      </c>
      <c r="D424" s="403" t="s">
        <v>157</v>
      </c>
      <c r="E424" s="405">
        <v>60.4</v>
      </c>
      <c r="F424" s="405">
        <v>0</v>
      </c>
      <c r="G424" s="406">
        <f>PRODUCT(F424*E424)</f>
        <v>0</v>
      </c>
    </row>
    <row r="425" spans="1:7" ht="12">
      <c r="A425" s="402"/>
      <c r="B425" s="500" t="s">
        <v>1294</v>
      </c>
      <c r="C425" s="404">
        <f>(4.955+1.41)*2+(6.35+4.245)*2</f>
        <v>33.92</v>
      </c>
      <c r="D425" s="403"/>
      <c r="E425" s="405"/>
      <c r="F425" s="405"/>
      <c r="G425" s="406"/>
    </row>
    <row r="426" spans="1:7" ht="12">
      <c r="A426" s="402"/>
      <c r="B426" s="500" t="s">
        <v>1295</v>
      </c>
      <c r="C426" s="404">
        <f>(1.41+1.43)*2+(2.65+2.57)*2+(2.88+2.29)*2</f>
        <v>26.459999999999997</v>
      </c>
      <c r="D426" s="403"/>
      <c r="E426" s="405"/>
      <c r="F426" s="405"/>
      <c r="G426" s="406"/>
    </row>
    <row r="427" spans="1:7" ht="12">
      <c r="A427" s="402"/>
      <c r="B427" s="573"/>
      <c r="C427" s="404">
        <f>SUM(C425:C426)</f>
        <v>60.379999999999995</v>
      </c>
      <c r="D427" s="403"/>
      <c r="E427" s="405"/>
      <c r="F427" s="405"/>
      <c r="G427" s="406"/>
    </row>
    <row r="428" spans="1:7" ht="12">
      <c r="A428" s="402" t="s">
        <v>666</v>
      </c>
      <c r="B428" s="403" t="s">
        <v>843</v>
      </c>
      <c r="C428" s="404" t="s">
        <v>870</v>
      </c>
      <c r="D428" s="403" t="s">
        <v>93</v>
      </c>
      <c r="E428" s="405">
        <v>62.68</v>
      </c>
      <c r="F428" s="405">
        <v>0</v>
      </c>
      <c r="G428" s="406">
        <f>PRODUCT(F428*E428)</f>
        <v>0</v>
      </c>
    </row>
    <row r="429" spans="1:7" ht="12">
      <c r="A429" s="402"/>
      <c r="B429" s="403"/>
      <c r="C429" s="404">
        <f>54.5*1.15</f>
        <v>62.675</v>
      </c>
      <c r="D429" s="403"/>
      <c r="E429" s="405"/>
      <c r="F429" s="405"/>
      <c r="G429" s="406"/>
    </row>
    <row r="430" spans="1:7" ht="12">
      <c r="A430" s="402" t="s">
        <v>666</v>
      </c>
      <c r="B430" s="403" t="s">
        <v>875</v>
      </c>
      <c r="C430" s="404" t="s">
        <v>876</v>
      </c>
      <c r="D430" s="403" t="s">
        <v>555</v>
      </c>
      <c r="E430" s="405">
        <f>SUM(G412:G429)/100</f>
        <v>0</v>
      </c>
      <c r="F430" s="405">
        <v>6</v>
      </c>
      <c r="G430" s="406">
        <f>PRODUCT(F430*E430)</f>
        <v>0</v>
      </c>
    </row>
    <row r="431" spans="1:7" ht="12.75" thickBot="1">
      <c r="A431" s="584" t="s">
        <v>672</v>
      </c>
      <c r="B431" s="591" t="s">
        <v>878</v>
      </c>
      <c r="C431" s="593" t="s">
        <v>879</v>
      </c>
      <c r="D431" s="591" t="s">
        <v>555</v>
      </c>
      <c r="E431" s="594">
        <f>SUM(G412:G429)/100</f>
        <v>0</v>
      </c>
      <c r="F431" s="594">
        <v>2</v>
      </c>
      <c r="G431" s="588">
        <f>PRODUCT(F431*E431)</f>
        <v>0</v>
      </c>
    </row>
    <row r="432" spans="1:7" ht="12.75" thickTop="1">
      <c r="A432" s="579"/>
      <c r="B432" s="589"/>
      <c r="C432" s="581" t="s">
        <v>160</v>
      </c>
      <c r="D432" s="589"/>
      <c r="E432" s="590"/>
      <c r="F432" s="590"/>
      <c r="G432" s="590">
        <f>SUM(G412:G431)</f>
        <v>0</v>
      </c>
    </row>
    <row r="433" spans="1:7" ht="12">
      <c r="A433" s="402"/>
      <c r="B433" s="563">
        <v>781</v>
      </c>
      <c r="C433" s="564" t="s">
        <v>33</v>
      </c>
      <c r="D433" s="403"/>
      <c r="E433" s="405"/>
      <c r="F433" s="405"/>
      <c r="G433" s="405"/>
    </row>
    <row r="434" spans="1:7" ht="12">
      <c r="A434" s="402" t="s">
        <v>675</v>
      </c>
      <c r="B434" s="403" t="s">
        <v>881</v>
      </c>
      <c r="C434" s="404" t="s">
        <v>882</v>
      </c>
      <c r="D434" s="403" t="s">
        <v>93</v>
      </c>
      <c r="E434" s="405">
        <v>46.74</v>
      </c>
      <c r="F434" s="405">
        <v>0</v>
      </c>
      <c r="G434" s="406">
        <f>PRODUCT(F434*E434)</f>
        <v>0</v>
      </c>
    </row>
    <row r="435" spans="1:7" ht="12">
      <c r="A435" s="402"/>
      <c r="B435" s="500" t="s">
        <v>261</v>
      </c>
      <c r="C435" s="404">
        <f>(2.18+1)*2*1.5-(0.7*1.5)</f>
        <v>8.490000000000002</v>
      </c>
      <c r="D435" s="403"/>
      <c r="E435" s="405"/>
      <c r="F435" s="405"/>
      <c r="G435" s="406"/>
    </row>
    <row r="436" spans="1:7" ht="12">
      <c r="A436" s="402"/>
      <c r="B436" s="500"/>
      <c r="C436" s="404">
        <f>(1.4+1.33)*2*1.5-0.7*1.5</f>
        <v>7.14</v>
      </c>
      <c r="D436" s="403"/>
      <c r="E436" s="405"/>
      <c r="F436" s="405"/>
      <c r="G436" s="406"/>
    </row>
    <row r="437" spans="1:7" ht="12">
      <c r="A437" s="402"/>
      <c r="B437" s="500" t="s">
        <v>1296</v>
      </c>
      <c r="C437" s="520">
        <f>(2.43+2)*2*1.5-0.7*1.5*3</f>
        <v>10.14</v>
      </c>
      <c r="D437" s="403"/>
      <c r="E437" s="405"/>
      <c r="F437" s="405"/>
      <c r="G437" s="406"/>
    </row>
    <row r="438" spans="1:7" ht="12">
      <c r="A438" s="402"/>
      <c r="B438" s="500" t="s">
        <v>1297</v>
      </c>
      <c r="C438" s="520">
        <f>(0.91+2.3)*2*1.5-0.7*1.5</f>
        <v>8.579999999999998</v>
      </c>
      <c r="D438" s="403"/>
      <c r="E438" s="405"/>
      <c r="F438" s="405"/>
      <c r="G438" s="406"/>
    </row>
    <row r="439" spans="1:7" ht="12">
      <c r="A439" s="402"/>
      <c r="B439" s="500" t="s">
        <v>1298</v>
      </c>
      <c r="C439" s="520">
        <f>(0.91+2.3)*2*1.5-0.7*1.5</f>
        <v>8.579999999999998</v>
      </c>
      <c r="D439" s="403"/>
      <c r="E439" s="405"/>
      <c r="F439" s="405"/>
      <c r="G439" s="406"/>
    </row>
    <row r="440" spans="1:7" ht="12">
      <c r="A440" s="402"/>
      <c r="B440" s="500" t="s">
        <v>1299</v>
      </c>
      <c r="C440" s="520">
        <f>(0.6+2.4+0.6)*0.6</f>
        <v>2.16</v>
      </c>
      <c r="D440" s="403"/>
      <c r="E440" s="405"/>
      <c r="F440" s="405"/>
      <c r="G440" s="406"/>
    </row>
    <row r="441" spans="1:7" ht="12">
      <c r="A441" s="402"/>
      <c r="B441" s="500" t="s">
        <v>1300</v>
      </c>
      <c r="C441" s="520">
        <f>(1.1*1.5)</f>
        <v>1.6500000000000001</v>
      </c>
      <c r="D441" s="403"/>
      <c r="E441" s="405"/>
      <c r="F441" s="405"/>
      <c r="G441" s="406"/>
    </row>
    <row r="442" spans="1:7" ht="12">
      <c r="A442" s="402"/>
      <c r="B442" s="500"/>
      <c r="C442" s="520">
        <f>SUM(C435:C441)</f>
        <v>46.74</v>
      </c>
      <c r="D442" s="403"/>
      <c r="E442" s="405"/>
      <c r="F442" s="405"/>
      <c r="G442" s="406"/>
    </row>
    <row r="443" spans="1:7" ht="12">
      <c r="A443" s="402" t="s">
        <v>679</v>
      </c>
      <c r="B443" s="403" t="s">
        <v>884</v>
      </c>
      <c r="C443" s="404" t="s">
        <v>885</v>
      </c>
      <c r="D443" s="403" t="s">
        <v>157</v>
      </c>
      <c r="E443" s="405">
        <v>4</v>
      </c>
      <c r="F443" s="405">
        <v>0</v>
      </c>
      <c r="G443" s="406">
        <f>PRODUCT(F443*E443)</f>
        <v>0</v>
      </c>
    </row>
    <row r="444" spans="1:7" ht="12">
      <c r="A444" s="402"/>
      <c r="B444" s="403"/>
      <c r="C444" s="404">
        <f>(0.9*2+0.4*4+0.6)</f>
        <v>4</v>
      </c>
      <c r="D444" s="403"/>
      <c r="E444" s="405"/>
      <c r="F444" s="405"/>
      <c r="G444" s="406"/>
    </row>
    <row r="445" spans="1:7" ht="12">
      <c r="A445" s="402" t="s">
        <v>682</v>
      </c>
      <c r="B445" s="403" t="s">
        <v>887</v>
      </c>
      <c r="C445" s="404" t="s">
        <v>888</v>
      </c>
      <c r="D445" s="403" t="s">
        <v>157</v>
      </c>
      <c r="E445" s="405">
        <v>38.22</v>
      </c>
      <c r="F445" s="405">
        <v>0</v>
      </c>
      <c r="G445" s="406">
        <f>PRODUCT(F445*E445)</f>
        <v>0</v>
      </c>
    </row>
    <row r="446" spans="1:7" ht="12">
      <c r="A446" s="402"/>
      <c r="B446" s="500" t="s">
        <v>261</v>
      </c>
      <c r="C446" s="404">
        <f>(2.18+1)*2</f>
        <v>6.36</v>
      </c>
      <c r="D446" s="403"/>
      <c r="E446" s="405"/>
      <c r="F446" s="405"/>
      <c r="G446" s="406"/>
    </row>
    <row r="447" spans="1:7" ht="12">
      <c r="A447" s="402"/>
      <c r="B447" s="500"/>
      <c r="C447" s="404">
        <f>(1.4+1.33)*2</f>
        <v>5.46</v>
      </c>
      <c r="D447" s="403"/>
      <c r="E447" s="405"/>
      <c r="F447" s="405"/>
      <c r="G447" s="406"/>
    </row>
    <row r="448" spans="1:7" ht="12">
      <c r="A448" s="402"/>
      <c r="B448" s="500" t="s">
        <v>1296</v>
      </c>
      <c r="C448" s="520">
        <f>(2.43+2)*2</f>
        <v>8.86</v>
      </c>
      <c r="D448" s="403"/>
      <c r="E448" s="405"/>
      <c r="F448" s="405"/>
      <c r="G448" s="406"/>
    </row>
    <row r="449" spans="1:7" ht="12">
      <c r="A449" s="402"/>
      <c r="B449" s="500" t="s">
        <v>1297</v>
      </c>
      <c r="C449" s="520">
        <f>(0.91+2.3)*2</f>
        <v>6.42</v>
      </c>
      <c r="D449" s="403"/>
      <c r="E449" s="405"/>
      <c r="F449" s="405"/>
      <c r="G449" s="406"/>
    </row>
    <row r="450" spans="1:7" ht="12">
      <c r="A450" s="402"/>
      <c r="B450" s="500" t="s">
        <v>1298</v>
      </c>
      <c r="C450" s="520">
        <f>(0.91+2.3)*2</f>
        <v>6.42</v>
      </c>
      <c r="D450" s="403"/>
      <c r="E450" s="405"/>
      <c r="F450" s="405"/>
      <c r="G450" s="406"/>
    </row>
    <row r="451" spans="1:7" ht="12">
      <c r="A451" s="402"/>
      <c r="B451" s="500" t="s">
        <v>1299</v>
      </c>
      <c r="C451" s="520">
        <f>(0.6+2.4+0.6)</f>
        <v>3.6</v>
      </c>
      <c r="D451" s="403"/>
      <c r="E451" s="405"/>
      <c r="F451" s="405"/>
      <c r="G451" s="406"/>
    </row>
    <row r="452" spans="1:7" ht="12">
      <c r="A452" s="402"/>
      <c r="B452" s="500" t="s">
        <v>1300</v>
      </c>
      <c r="C452" s="520">
        <f>1.1</f>
        <v>1.1</v>
      </c>
      <c r="D452" s="403"/>
      <c r="E452" s="405"/>
      <c r="F452" s="405"/>
      <c r="G452" s="406"/>
    </row>
    <row r="453" spans="1:7" ht="12">
      <c r="A453" s="402"/>
      <c r="B453" s="425"/>
      <c r="C453" s="404">
        <f>SUM(C446:C452)</f>
        <v>38.220000000000006</v>
      </c>
      <c r="D453" s="403"/>
      <c r="E453" s="405"/>
      <c r="F453" s="405"/>
      <c r="G453" s="406"/>
    </row>
    <row r="454" spans="1:9" s="159" customFormat="1" ht="12">
      <c r="A454" s="402" t="s">
        <v>685</v>
      </c>
      <c r="B454" s="403" t="s">
        <v>890</v>
      </c>
      <c r="C454" s="404" t="s">
        <v>891</v>
      </c>
      <c r="D454" s="403" t="s">
        <v>93</v>
      </c>
      <c r="E454" s="405">
        <v>46.74</v>
      </c>
      <c r="F454" s="405">
        <v>0</v>
      </c>
      <c r="G454" s="406">
        <f>PRODUCT(F454*E454)</f>
        <v>0</v>
      </c>
      <c r="H454" s="158"/>
      <c r="I454" s="158"/>
    </row>
    <row r="455" spans="1:7" ht="12">
      <c r="A455" s="402"/>
      <c r="B455" s="500" t="s">
        <v>261</v>
      </c>
      <c r="C455" s="404">
        <f>(2.18+1)*2*1.5-(0.7*1.5)</f>
        <v>8.490000000000002</v>
      </c>
      <c r="D455" s="403"/>
      <c r="E455" s="405"/>
      <c r="F455" s="405"/>
      <c r="G455" s="406"/>
    </row>
    <row r="456" spans="1:7" ht="12">
      <c r="A456" s="402"/>
      <c r="B456" s="500"/>
      <c r="C456" s="404">
        <f>(1.4+1.33)*2*1.5-0.7*1.5</f>
        <v>7.14</v>
      </c>
      <c r="D456" s="403"/>
      <c r="E456" s="405"/>
      <c r="F456" s="405"/>
      <c r="G456" s="406"/>
    </row>
    <row r="457" spans="1:7" ht="12">
      <c r="A457" s="402"/>
      <c r="B457" s="500" t="s">
        <v>1296</v>
      </c>
      <c r="C457" s="520">
        <f>(2.43+2)*2*1.5-0.7*1.5*3</f>
        <v>10.14</v>
      </c>
      <c r="D457" s="403"/>
      <c r="E457" s="405"/>
      <c r="F457" s="405"/>
      <c r="G457" s="406"/>
    </row>
    <row r="458" spans="1:7" ht="12">
      <c r="A458" s="402"/>
      <c r="B458" s="500" t="s">
        <v>1297</v>
      </c>
      <c r="C458" s="520">
        <f>(0.91+2.3)*2*1.5-0.7*1.5</f>
        <v>8.579999999999998</v>
      </c>
      <c r="D458" s="403"/>
      <c r="E458" s="405"/>
      <c r="F458" s="405"/>
      <c r="G458" s="406"/>
    </row>
    <row r="459" spans="1:7" ht="12">
      <c r="A459" s="402"/>
      <c r="B459" s="500" t="s">
        <v>1298</v>
      </c>
      <c r="C459" s="520">
        <f>(0.91+2.3)*2*1.5-0.7*1.5</f>
        <v>8.579999999999998</v>
      </c>
      <c r="D459" s="403"/>
      <c r="E459" s="405"/>
      <c r="F459" s="405"/>
      <c r="G459" s="406"/>
    </row>
    <row r="460" spans="1:7" ht="12">
      <c r="A460" s="402"/>
      <c r="B460" s="500" t="s">
        <v>1299</v>
      </c>
      <c r="C460" s="520">
        <f>(0.6+2.4+0.6)*0.6</f>
        <v>2.16</v>
      </c>
      <c r="D460" s="403"/>
      <c r="E460" s="405"/>
      <c r="F460" s="405"/>
      <c r="G460" s="406"/>
    </row>
    <row r="461" spans="1:7" ht="12">
      <c r="A461" s="402"/>
      <c r="B461" s="500" t="s">
        <v>1300</v>
      </c>
      <c r="C461" s="520">
        <f>(1.1*1.5)</f>
        <v>1.6500000000000001</v>
      </c>
      <c r="D461" s="403"/>
      <c r="E461" s="405"/>
      <c r="F461" s="405"/>
      <c r="G461" s="406"/>
    </row>
    <row r="462" spans="1:7" ht="12">
      <c r="A462" s="402"/>
      <c r="B462" s="425"/>
      <c r="C462" s="404">
        <f>SUM(C455:C461)</f>
        <v>46.74</v>
      </c>
      <c r="D462" s="403"/>
      <c r="E462" s="405"/>
      <c r="F462" s="405"/>
      <c r="G462" s="406"/>
    </row>
    <row r="463" spans="1:7" ht="12">
      <c r="A463" s="402" t="s">
        <v>688</v>
      </c>
      <c r="B463" s="403" t="s">
        <v>893</v>
      </c>
      <c r="C463" s="404" t="s">
        <v>894</v>
      </c>
      <c r="D463" s="403" t="s">
        <v>157</v>
      </c>
      <c r="E463" s="405">
        <v>2.4</v>
      </c>
      <c r="F463" s="405">
        <v>0</v>
      </c>
      <c r="G463" s="406">
        <f>PRODUCT(F463*E463)</f>
        <v>0</v>
      </c>
    </row>
    <row r="464" spans="1:7" ht="12">
      <c r="A464" s="402"/>
      <c r="B464" s="425"/>
      <c r="C464" s="404">
        <f>(0.6+0.9+0.9)</f>
        <v>2.4</v>
      </c>
      <c r="D464" s="403"/>
      <c r="E464" s="405"/>
      <c r="F464" s="405"/>
      <c r="G464" s="406"/>
    </row>
    <row r="465" spans="1:7" ht="12">
      <c r="A465" s="402" t="s">
        <v>691</v>
      </c>
      <c r="B465" s="574">
        <v>59781372</v>
      </c>
      <c r="C465" s="404" t="s">
        <v>899</v>
      </c>
      <c r="D465" s="403" t="s">
        <v>93</v>
      </c>
      <c r="E465" s="405">
        <v>51.414</v>
      </c>
      <c r="F465" s="405">
        <v>0</v>
      </c>
      <c r="G465" s="406">
        <f>PRODUCT(F465*E465)</f>
        <v>0</v>
      </c>
    </row>
    <row r="466" spans="1:7" ht="12">
      <c r="A466" s="402"/>
      <c r="B466" s="403"/>
      <c r="C466" s="404">
        <f>46.74*1.1</f>
        <v>51.41400000000001</v>
      </c>
      <c r="D466" s="403"/>
      <c r="E466" s="405"/>
      <c r="F466" s="405"/>
      <c r="G466" s="406"/>
    </row>
    <row r="467" spans="1:7" ht="12">
      <c r="A467" s="402" t="s">
        <v>693</v>
      </c>
      <c r="B467" s="403" t="s">
        <v>901</v>
      </c>
      <c r="C467" s="404" t="s">
        <v>902</v>
      </c>
      <c r="D467" s="403" t="s">
        <v>555</v>
      </c>
      <c r="E467" s="405">
        <f>SUM(G434:G466)/100</f>
        <v>0</v>
      </c>
      <c r="F467" s="405">
        <v>8</v>
      </c>
      <c r="G467" s="406">
        <f>ROUND(PRODUCT(F467*E467),0)</f>
        <v>0</v>
      </c>
    </row>
    <row r="468" spans="1:7" ht="12.75" thickBot="1">
      <c r="A468" s="584" t="s">
        <v>697</v>
      </c>
      <c r="B468" s="591" t="s">
        <v>904</v>
      </c>
      <c r="C468" s="593" t="s">
        <v>905</v>
      </c>
      <c r="D468" s="591" t="s">
        <v>555</v>
      </c>
      <c r="E468" s="594">
        <f>SUM(G434:G466)/100</f>
        <v>0</v>
      </c>
      <c r="F468" s="594">
        <v>2</v>
      </c>
      <c r="G468" s="588">
        <f>ROUND(PRODUCT(F468*E468),0)</f>
        <v>0</v>
      </c>
    </row>
    <row r="469" spans="1:7" ht="12.75" thickTop="1">
      <c r="A469" s="579"/>
      <c r="B469" s="589"/>
      <c r="C469" s="581" t="s">
        <v>160</v>
      </c>
      <c r="D469" s="589"/>
      <c r="E469" s="590"/>
      <c r="F469" s="590"/>
      <c r="G469" s="590">
        <f>SUM(G433:G468)</f>
        <v>0</v>
      </c>
    </row>
    <row r="470" spans="1:7" ht="12">
      <c r="A470" s="402"/>
      <c r="B470" s="496">
        <v>783</v>
      </c>
      <c r="C470" s="501" t="s">
        <v>906</v>
      </c>
      <c r="D470" s="496"/>
      <c r="E470" s="502"/>
      <c r="F470" s="502"/>
      <c r="G470" s="502"/>
    </row>
    <row r="471" spans="1:7" ht="12">
      <c r="A471" s="402" t="s">
        <v>700</v>
      </c>
      <c r="B471" s="403" t="s">
        <v>908</v>
      </c>
      <c r="C471" s="404" t="s">
        <v>909</v>
      </c>
      <c r="D471" s="403" t="s">
        <v>93</v>
      </c>
      <c r="E471" s="405">
        <v>735.77</v>
      </c>
      <c r="F471" s="405">
        <v>0</v>
      </c>
      <c r="G471" s="406">
        <f>PRODUCT(F471*E471)</f>
        <v>0</v>
      </c>
    </row>
    <row r="472" spans="1:7" ht="12">
      <c r="A472" s="402"/>
      <c r="B472" s="500" t="s">
        <v>261</v>
      </c>
      <c r="C472" s="404">
        <f>(2.18+1)*2*1.5</f>
        <v>9.540000000000001</v>
      </c>
      <c r="D472" s="403"/>
      <c r="E472" s="405"/>
      <c r="F472" s="405"/>
      <c r="G472" s="406"/>
    </row>
    <row r="473" spans="1:7" ht="12">
      <c r="A473" s="402"/>
      <c r="B473" s="500"/>
      <c r="C473" s="404">
        <f>(1.4+1.33)*2*1.5</f>
        <v>8.19</v>
      </c>
      <c r="D473" s="403"/>
      <c r="E473" s="405"/>
      <c r="F473" s="405"/>
      <c r="G473" s="406"/>
    </row>
    <row r="474" spans="1:9" s="159" customFormat="1" ht="12">
      <c r="A474" s="514"/>
      <c r="B474" s="519" t="s">
        <v>195</v>
      </c>
      <c r="C474" s="510">
        <f>((2.79+2.9)*2+(3.15+2.9)*2+(3.15+2.88)*2+(4.32+2.75)*2+(1.1*2+0.8*2))*2.91</f>
        <v>155.62679999999997</v>
      </c>
      <c r="D474" s="514"/>
      <c r="E474" s="517"/>
      <c r="F474" s="506"/>
      <c r="G474" s="518"/>
      <c r="H474" s="196"/>
      <c r="I474" s="158"/>
    </row>
    <row r="475" spans="1:9" s="159" customFormat="1" ht="12">
      <c r="A475" s="514"/>
      <c r="B475" s="500" t="s">
        <v>128</v>
      </c>
      <c r="C475" s="415">
        <f>(4.58+4.37)*2*2.91</f>
        <v>52.089</v>
      </c>
      <c r="D475" s="514"/>
      <c r="E475" s="517"/>
      <c r="F475" s="506"/>
      <c r="G475" s="518"/>
      <c r="H475" s="196"/>
      <c r="I475" s="158"/>
    </row>
    <row r="476" spans="1:9" s="159" customFormat="1" ht="12">
      <c r="A476" s="514"/>
      <c r="B476" s="515" t="s">
        <v>1293</v>
      </c>
      <c r="C476" s="516">
        <f>(1.42+0.6+0.18+0.35+0.25+0.9+1.42)*2.91+(2.8+3.48+2.8)*2.91</f>
        <v>41.321999999999996</v>
      </c>
      <c r="D476" s="514"/>
      <c r="E476" s="517"/>
      <c r="F476" s="506"/>
      <c r="G476" s="518"/>
      <c r="H476" s="196"/>
      <c r="I476" s="158"/>
    </row>
    <row r="477" spans="1:9" s="159" customFormat="1" ht="12">
      <c r="A477" s="514"/>
      <c r="B477" s="515" t="s">
        <v>1294</v>
      </c>
      <c r="C477" s="516">
        <f>(6.35+4.245)*2*2.91</f>
        <v>61.66289999999999</v>
      </c>
      <c r="D477" s="514"/>
      <c r="E477" s="517"/>
      <c r="F477" s="506"/>
      <c r="G477" s="518"/>
      <c r="H477" s="196"/>
      <c r="I477" s="158"/>
    </row>
    <row r="478" spans="1:9" s="159" customFormat="1" ht="12">
      <c r="A478" s="514"/>
      <c r="B478" s="515"/>
      <c r="C478" s="516">
        <f>(4.955+1.41)*2*2.91</f>
        <v>37.0443</v>
      </c>
      <c r="D478" s="514"/>
      <c r="E478" s="517"/>
      <c r="F478" s="506"/>
      <c r="G478" s="518"/>
      <c r="H478" s="196"/>
      <c r="I478" s="158"/>
    </row>
    <row r="479" spans="1:9" s="159" customFormat="1" ht="12">
      <c r="A479" s="514"/>
      <c r="B479" s="515"/>
      <c r="C479" s="516">
        <f>((1.15+2.75*2)+(1.15+2.1*2)*2)*0.75</f>
        <v>13.012500000000001</v>
      </c>
      <c r="D479" s="514"/>
      <c r="E479" s="517"/>
      <c r="F479" s="506"/>
      <c r="G479" s="518"/>
      <c r="H479" s="196"/>
      <c r="I479" s="158"/>
    </row>
    <row r="480" spans="1:9" s="159" customFormat="1" ht="12">
      <c r="A480" s="514"/>
      <c r="B480" s="515" t="s">
        <v>1295</v>
      </c>
      <c r="C480" s="516">
        <f>(1.43+1.41)*2*2.91</f>
        <v>16.5288</v>
      </c>
      <c r="D480" s="514"/>
      <c r="E480" s="517"/>
      <c r="F480" s="506"/>
      <c r="G480" s="518"/>
      <c r="H480" s="196"/>
      <c r="I480" s="158"/>
    </row>
    <row r="481" spans="1:9" s="159" customFormat="1" ht="12">
      <c r="A481" s="514"/>
      <c r="B481" s="515"/>
      <c r="C481" s="516">
        <f>(2.45+2.75)*2*2.91</f>
        <v>30.264000000000003</v>
      </c>
      <c r="D481" s="514"/>
      <c r="E481" s="517"/>
      <c r="F481" s="506"/>
      <c r="G481" s="518"/>
      <c r="H481" s="196"/>
      <c r="I481" s="158"/>
    </row>
    <row r="482" spans="1:9" s="159" customFormat="1" ht="12">
      <c r="A482" s="514"/>
      <c r="B482" s="515"/>
      <c r="C482" s="516">
        <f>(2.88+2.29)*2*2.91</f>
        <v>30.0894</v>
      </c>
      <c r="D482" s="514"/>
      <c r="E482" s="517"/>
      <c r="F482" s="506"/>
      <c r="G482" s="518"/>
      <c r="H482" s="196"/>
      <c r="I482" s="158"/>
    </row>
    <row r="483" spans="1:7" ht="12">
      <c r="A483" s="402"/>
      <c r="B483" s="500" t="s">
        <v>1296</v>
      </c>
      <c r="C483" s="520">
        <f>(2.43+2)*2*1.5</f>
        <v>13.29</v>
      </c>
      <c r="D483" s="403"/>
      <c r="E483" s="405"/>
      <c r="F483" s="405"/>
      <c r="G483" s="406"/>
    </row>
    <row r="484" spans="1:7" ht="12">
      <c r="A484" s="402"/>
      <c r="B484" s="500" t="s">
        <v>1297</v>
      </c>
      <c r="C484" s="520">
        <f>(0.91+2.3)*2*1.5</f>
        <v>9.629999999999999</v>
      </c>
      <c r="D484" s="403"/>
      <c r="E484" s="405"/>
      <c r="F484" s="405"/>
      <c r="G484" s="406"/>
    </row>
    <row r="485" spans="1:7" ht="12">
      <c r="A485" s="402"/>
      <c r="B485" s="500" t="s">
        <v>1298</v>
      </c>
      <c r="C485" s="520">
        <f>(0.91+2.3)*2*1.5</f>
        <v>9.629999999999999</v>
      </c>
      <c r="D485" s="403"/>
      <c r="E485" s="405"/>
      <c r="F485" s="405"/>
      <c r="G485" s="406"/>
    </row>
    <row r="486" spans="1:7" ht="12">
      <c r="A486" s="402"/>
      <c r="B486" s="500" t="s">
        <v>1299</v>
      </c>
      <c r="C486" s="520">
        <f>(2.4+2.57)*2*2.91</f>
        <v>28.9254</v>
      </c>
      <c r="D486" s="403"/>
      <c r="E486" s="405"/>
      <c r="F486" s="405"/>
      <c r="G486" s="406"/>
    </row>
    <row r="487" spans="1:7" ht="12">
      <c r="A487" s="402"/>
      <c r="B487" s="500" t="s">
        <v>1300</v>
      </c>
      <c r="C487" s="520">
        <f>(2.57+1.1)*2*2.91</f>
        <v>21.3594</v>
      </c>
      <c r="D487" s="403"/>
      <c r="E487" s="405"/>
      <c r="F487" s="405"/>
      <c r="G487" s="406"/>
    </row>
    <row r="488" spans="1:7" ht="12">
      <c r="A488" s="402"/>
      <c r="B488" s="500" t="s">
        <v>1301</v>
      </c>
      <c r="C488" s="520">
        <f>(3.05+3.1)*2*2.91</f>
        <v>35.793000000000006</v>
      </c>
      <c r="D488" s="403"/>
      <c r="E488" s="405"/>
      <c r="F488" s="405"/>
      <c r="G488" s="406"/>
    </row>
    <row r="489" spans="1:7" ht="12">
      <c r="A489" s="402"/>
      <c r="B489" s="425"/>
      <c r="C489" s="520">
        <f>SUM(C472:C488)</f>
        <v>573.9975000000001</v>
      </c>
      <c r="D489" s="403"/>
      <c r="E489" s="405"/>
      <c r="F489" s="405"/>
      <c r="G489" s="406"/>
    </row>
    <row r="490" spans="1:7" ht="12">
      <c r="A490" s="402"/>
      <c r="B490" s="509" t="s">
        <v>261</v>
      </c>
      <c r="C490" s="510">
        <f>(2.28*1+1.42*1.4)</f>
        <v>4.268</v>
      </c>
      <c r="D490" s="504"/>
      <c r="E490" s="511"/>
      <c r="F490" s="507"/>
      <c r="G490" s="511"/>
    </row>
    <row r="491" spans="1:7" ht="12">
      <c r="A491" s="402"/>
      <c r="B491" s="509" t="s">
        <v>195</v>
      </c>
      <c r="C491" s="512">
        <f>(2.9*2.79)+(2.9*1.98)+(2.9*1.1)+(3.15*2.88)+(4.32*2.75)+(1.15*0.35)*3</f>
        <v>39.182500000000005</v>
      </c>
      <c r="D491" s="504"/>
      <c r="E491" s="511"/>
      <c r="F491" s="507"/>
      <c r="G491" s="511"/>
    </row>
    <row r="492" spans="1:7" ht="12">
      <c r="A492" s="402"/>
      <c r="B492" s="509" t="s">
        <v>128</v>
      </c>
      <c r="C492" s="512">
        <f>(4.58*4.37)+(3+1.9+1)*0.3</f>
        <v>21.7846</v>
      </c>
      <c r="D492" s="504"/>
      <c r="E492" s="511"/>
      <c r="F492" s="507"/>
      <c r="G492" s="511"/>
    </row>
    <row r="493" spans="1:7" ht="12">
      <c r="A493" s="402"/>
      <c r="B493" s="509" t="s">
        <v>1293</v>
      </c>
      <c r="C493" s="512">
        <f>(3.48*4.37)+(2.3+2.3+1.8)*0.35</f>
        <v>17.4476</v>
      </c>
      <c r="D493" s="504"/>
      <c r="E493" s="511"/>
      <c r="F493" s="507"/>
      <c r="G493" s="511"/>
    </row>
    <row r="494" spans="1:7" ht="12">
      <c r="A494" s="402"/>
      <c r="B494" s="509" t="s">
        <v>1294</v>
      </c>
      <c r="C494" s="512">
        <f>(4.955*1.41)+(6.35*4.245)+(2.1+1.2+1)*0.3+(1.15+1.15)*0.75</f>
        <v>36.9573</v>
      </c>
      <c r="D494" s="504"/>
      <c r="E494" s="511"/>
      <c r="F494" s="507"/>
      <c r="G494" s="511"/>
    </row>
    <row r="495" spans="1:7" ht="12">
      <c r="A495" s="402"/>
      <c r="B495" s="509" t="s">
        <v>1295</v>
      </c>
      <c r="C495" s="512">
        <f>(1.43*1.41)+(2.65*2.57)+(1.05+1.15)*0.75+(1*0.3)+(2.88*2.29)</f>
        <v>17.372</v>
      </c>
      <c r="D495" s="504"/>
      <c r="E495" s="511"/>
      <c r="F495" s="507"/>
      <c r="G495" s="511"/>
    </row>
    <row r="496" spans="1:7" ht="12">
      <c r="A496" s="402"/>
      <c r="B496" s="509" t="s">
        <v>1296</v>
      </c>
      <c r="C496" s="512">
        <f>(2.42*1.38)+(1.92*0.6)</f>
        <v>4.491599999999999</v>
      </c>
      <c r="D496" s="504"/>
      <c r="E496" s="511"/>
      <c r="F496" s="507"/>
      <c r="G496" s="511"/>
    </row>
    <row r="497" spans="1:7" ht="12">
      <c r="A497" s="402"/>
      <c r="B497" s="509" t="s">
        <v>1297</v>
      </c>
      <c r="C497" s="512">
        <f>(2.3*0.91)</f>
        <v>2.093</v>
      </c>
      <c r="D497" s="504"/>
      <c r="E497" s="511"/>
      <c r="F497" s="507"/>
      <c r="G497" s="511"/>
    </row>
    <row r="498" spans="1:7" ht="12">
      <c r="A498" s="402"/>
      <c r="B498" s="509" t="s">
        <v>1298</v>
      </c>
      <c r="C498" s="512">
        <f>(0.91*2.3)</f>
        <v>2.093</v>
      </c>
      <c r="D498" s="504"/>
      <c r="E498" s="511"/>
      <c r="F498" s="507"/>
      <c r="G498" s="511"/>
    </row>
    <row r="499" spans="1:7" ht="12">
      <c r="A499" s="402"/>
      <c r="B499" s="509" t="s">
        <v>1299</v>
      </c>
      <c r="C499" s="512">
        <f>(2.4*2.57)</f>
        <v>6.167999999999999</v>
      </c>
      <c r="D499" s="504"/>
      <c r="E499" s="511"/>
      <c r="F499" s="507"/>
      <c r="G499" s="511"/>
    </row>
    <row r="500" spans="1:7" ht="12">
      <c r="A500" s="402"/>
      <c r="B500" s="509" t="s">
        <v>1300</v>
      </c>
      <c r="C500" s="512">
        <f>(1.1*2.57)</f>
        <v>2.827</v>
      </c>
      <c r="D500" s="504"/>
      <c r="E500" s="511"/>
      <c r="F500" s="507"/>
      <c r="G500" s="511"/>
    </row>
    <row r="501" spans="1:7" ht="12">
      <c r="A501" s="402"/>
      <c r="B501" s="509" t="s">
        <v>1301</v>
      </c>
      <c r="C501" s="512">
        <f>(1.3*1.35)+(3.05*1.75)</f>
        <v>7.092499999999999</v>
      </c>
      <c r="D501" s="504"/>
      <c r="E501" s="511"/>
      <c r="F501" s="507"/>
      <c r="G501" s="511"/>
    </row>
    <row r="502" spans="1:7" ht="12">
      <c r="A502" s="402"/>
      <c r="B502" s="513"/>
      <c r="C502" s="512">
        <f>SUM(C490:C501)</f>
        <v>161.7771</v>
      </c>
      <c r="D502" s="504"/>
      <c r="E502" s="511"/>
      <c r="F502" s="507"/>
      <c r="G502" s="511"/>
    </row>
    <row r="503" spans="1:7" ht="12">
      <c r="A503" s="402" t="s">
        <v>703</v>
      </c>
      <c r="B503" s="403" t="s">
        <v>911</v>
      </c>
      <c r="C503" s="404" t="s">
        <v>912</v>
      </c>
      <c r="D503" s="403" t="s">
        <v>93</v>
      </c>
      <c r="E503" s="405">
        <v>735.77</v>
      </c>
      <c r="F503" s="405">
        <v>0</v>
      </c>
      <c r="G503" s="406">
        <f>PRODUCT(F503*E503)</f>
        <v>0</v>
      </c>
    </row>
    <row r="504" spans="1:7" ht="12">
      <c r="A504" s="402"/>
      <c r="B504" s="403"/>
      <c r="C504" s="404" t="s">
        <v>913</v>
      </c>
      <c r="D504" s="403"/>
      <c r="E504" s="405"/>
      <c r="F504" s="405"/>
      <c r="G504" s="406"/>
    </row>
    <row r="505" spans="1:7" ht="12">
      <c r="A505" s="402" t="s">
        <v>706</v>
      </c>
      <c r="B505" s="403" t="s">
        <v>920</v>
      </c>
      <c r="C505" s="404" t="s">
        <v>921</v>
      </c>
      <c r="D505" s="403" t="s">
        <v>93</v>
      </c>
      <c r="E505" s="405">
        <v>36</v>
      </c>
      <c r="F505" s="405">
        <v>0</v>
      </c>
      <c r="G505" s="406">
        <f>PRODUCT(F505*E505)</f>
        <v>0</v>
      </c>
    </row>
    <row r="506" spans="1:7" ht="12.75" thickBot="1">
      <c r="A506" s="584"/>
      <c r="B506" s="634"/>
      <c r="C506" s="593" t="s">
        <v>1308</v>
      </c>
      <c r="D506" s="591"/>
      <c r="E506" s="594"/>
      <c r="F506" s="594"/>
      <c r="G506" s="588"/>
    </row>
    <row r="507" spans="1:7" ht="12.75" thickTop="1">
      <c r="A507" s="579"/>
      <c r="B507" s="589"/>
      <c r="C507" s="581" t="s">
        <v>160</v>
      </c>
      <c r="D507" s="589"/>
      <c r="E507" s="590"/>
      <c r="F507" s="590"/>
      <c r="G507" s="590">
        <f>SUM(G470:G506)</f>
        <v>0</v>
      </c>
    </row>
    <row r="508" spans="1:7" ht="12">
      <c r="A508" s="402"/>
      <c r="B508" s="563" t="s">
        <v>35</v>
      </c>
      <c r="C508" s="564" t="s">
        <v>930</v>
      </c>
      <c r="D508" s="404"/>
      <c r="E508" s="405"/>
      <c r="F508" s="405"/>
      <c r="G508" s="405"/>
    </row>
    <row r="509" spans="1:7" ht="12">
      <c r="A509" s="402" t="s">
        <v>709</v>
      </c>
      <c r="B509" s="403" t="s">
        <v>932</v>
      </c>
      <c r="C509" s="404" t="s">
        <v>933</v>
      </c>
      <c r="D509" s="404" t="s">
        <v>157</v>
      </c>
      <c r="E509" s="405">
        <v>92</v>
      </c>
      <c r="F509" s="405">
        <v>0</v>
      </c>
      <c r="G509" s="406">
        <f>PRODUCT(F509*E509)</f>
        <v>0</v>
      </c>
    </row>
    <row r="510" spans="1:7" ht="12.75" thickBot="1">
      <c r="A510" s="584" t="s">
        <v>714</v>
      </c>
      <c r="B510" s="591" t="s">
        <v>947</v>
      </c>
      <c r="C510" s="593" t="s">
        <v>948</v>
      </c>
      <c r="D510" s="593" t="s">
        <v>157</v>
      </c>
      <c r="E510" s="594">
        <v>28</v>
      </c>
      <c r="F510" s="594">
        <v>0</v>
      </c>
      <c r="G510" s="588">
        <f>PRODUCT(F510*E510)</f>
        <v>0</v>
      </c>
    </row>
    <row r="511" spans="1:7" ht="12.75" thickTop="1">
      <c r="A511" s="579"/>
      <c r="B511" s="589"/>
      <c r="C511" s="581" t="s">
        <v>160</v>
      </c>
      <c r="D511" s="581"/>
      <c r="E511" s="590"/>
      <c r="F511" s="590"/>
      <c r="G511" s="590">
        <f>SUM(G509:G510)</f>
        <v>0</v>
      </c>
    </row>
    <row r="512" spans="1:7" ht="12">
      <c r="A512" s="402"/>
      <c r="B512" s="563" t="s">
        <v>41</v>
      </c>
      <c r="C512" s="564" t="s">
        <v>1008</v>
      </c>
      <c r="D512" s="404"/>
      <c r="E512" s="405"/>
      <c r="F512" s="405"/>
      <c r="G512" s="405"/>
    </row>
    <row r="513" spans="1:7" ht="12">
      <c r="A513" s="402" t="s">
        <v>718</v>
      </c>
      <c r="B513" s="403" t="s">
        <v>1010</v>
      </c>
      <c r="C513" s="404" t="s">
        <v>1011</v>
      </c>
      <c r="D513" s="404" t="s">
        <v>83</v>
      </c>
      <c r="E513" s="405">
        <v>2</v>
      </c>
      <c r="F513" s="405">
        <v>0</v>
      </c>
      <c r="G513" s="406">
        <f aca="true" t="shared" si="16" ref="G513:G519">PRODUCT(F513*E513)</f>
        <v>0</v>
      </c>
    </row>
    <row r="514" spans="1:7" ht="12">
      <c r="A514" s="402" t="s">
        <v>722</v>
      </c>
      <c r="B514" s="403" t="s">
        <v>1013</v>
      </c>
      <c r="C514" s="404" t="s">
        <v>1014</v>
      </c>
      <c r="D514" s="404" t="s">
        <v>83</v>
      </c>
      <c r="E514" s="405">
        <v>4</v>
      </c>
      <c r="F514" s="405">
        <v>0</v>
      </c>
      <c r="G514" s="406">
        <f t="shared" si="16"/>
        <v>0</v>
      </c>
    </row>
    <row r="515" spans="1:7" ht="12">
      <c r="A515" s="402" t="s">
        <v>727</v>
      </c>
      <c r="B515" s="403" t="s">
        <v>1016</v>
      </c>
      <c r="C515" s="404" t="s">
        <v>1017</v>
      </c>
      <c r="D515" s="404" t="s">
        <v>83</v>
      </c>
      <c r="E515" s="405">
        <v>8</v>
      </c>
      <c r="F515" s="405">
        <v>0</v>
      </c>
      <c r="G515" s="406">
        <f t="shared" si="16"/>
        <v>0</v>
      </c>
    </row>
    <row r="516" spans="1:7" ht="12">
      <c r="A516" s="402" t="s">
        <v>730</v>
      </c>
      <c r="B516" s="403" t="s">
        <v>1019</v>
      </c>
      <c r="C516" s="404" t="s">
        <v>1020</v>
      </c>
      <c r="D516" s="404" t="s">
        <v>83</v>
      </c>
      <c r="E516" s="405">
        <v>2</v>
      </c>
      <c r="F516" s="405">
        <v>0</v>
      </c>
      <c r="G516" s="406">
        <f t="shared" si="16"/>
        <v>0</v>
      </c>
    </row>
    <row r="517" spans="1:7" ht="12">
      <c r="A517" s="402" t="s">
        <v>733</v>
      </c>
      <c r="B517" s="403" t="s">
        <v>1028</v>
      </c>
      <c r="C517" s="404" t="s">
        <v>1029</v>
      </c>
      <c r="D517" s="404" t="s">
        <v>83</v>
      </c>
      <c r="E517" s="405">
        <v>8</v>
      </c>
      <c r="F517" s="405">
        <v>0</v>
      </c>
      <c r="G517" s="406">
        <f t="shared" si="16"/>
        <v>0</v>
      </c>
    </row>
    <row r="518" spans="1:7" ht="12">
      <c r="A518" s="402" t="s">
        <v>736</v>
      </c>
      <c r="B518" s="403" t="s">
        <v>1031</v>
      </c>
      <c r="C518" s="404" t="s">
        <v>1032</v>
      </c>
      <c r="D518" s="404" t="s">
        <v>83</v>
      </c>
      <c r="E518" s="405">
        <v>10</v>
      </c>
      <c r="F518" s="405">
        <v>0</v>
      </c>
      <c r="G518" s="406">
        <f t="shared" si="16"/>
        <v>0</v>
      </c>
    </row>
    <row r="519" spans="1:7" ht="12.75" thickBot="1">
      <c r="A519" s="584" t="s">
        <v>738</v>
      </c>
      <c r="B519" s="591" t="s">
        <v>1034</v>
      </c>
      <c r="C519" s="593" t="s">
        <v>1035</v>
      </c>
      <c r="D519" s="593" t="s">
        <v>83</v>
      </c>
      <c r="E519" s="594">
        <v>1</v>
      </c>
      <c r="F519" s="594">
        <v>0</v>
      </c>
      <c r="G519" s="588">
        <f t="shared" si="16"/>
        <v>0</v>
      </c>
    </row>
    <row r="520" spans="1:7" ht="12.75" thickTop="1">
      <c r="A520" s="579"/>
      <c r="B520" s="589"/>
      <c r="C520" s="581" t="s">
        <v>160</v>
      </c>
      <c r="D520" s="581"/>
      <c r="E520" s="590"/>
      <c r="F520" s="590"/>
      <c r="G520" s="590">
        <f>SUM(G513:G519)</f>
        <v>0</v>
      </c>
    </row>
    <row r="521" spans="1:7" ht="12">
      <c r="A521" s="402"/>
      <c r="B521" s="563" t="s">
        <v>43</v>
      </c>
      <c r="C521" s="564" t="s">
        <v>1036</v>
      </c>
      <c r="D521" s="404"/>
      <c r="E521" s="405"/>
      <c r="F521" s="405"/>
      <c r="G521" s="405"/>
    </row>
    <row r="522" spans="1:7" ht="12">
      <c r="A522" s="402" t="s">
        <v>741</v>
      </c>
      <c r="B522" s="575" t="s">
        <v>1038</v>
      </c>
      <c r="C522" s="404" t="s">
        <v>1039</v>
      </c>
      <c r="D522" s="404" t="s">
        <v>157</v>
      </c>
      <c r="E522" s="405">
        <v>6.5</v>
      </c>
      <c r="F522" s="405">
        <v>0</v>
      </c>
      <c r="G522" s="406">
        <f aca="true" t="shared" si="17" ref="G522:G531">PRODUCT(F522*E522)</f>
        <v>0</v>
      </c>
    </row>
    <row r="523" spans="1:7" ht="12">
      <c r="A523" s="402" t="s">
        <v>744</v>
      </c>
      <c r="B523" s="575" t="s">
        <v>1041</v>
      </c>
      <c r="C523" s="404" t="s">
        <v>1042</v>
      </c>
      <c r="D523" s="404" t="s">
        <v>157</v>
      </c>
      <c r="E523" s="405">
        <v>6.5</v>
      </c>
      <c r="F523" s="405">
        <v>0</v>
      </c>
      <c r="G523" s="406">
        <f t="shared" si="17"/>
        <v>0</v>
      </c>
    </row>
    <row r="524" spans="1:7" ht="12">
      <c r="A524" s="402" t="s">
        <v>747</v>
      </c>
      <c r="B524" s="575" t="s">
        <v>1044</v>
      </c>
      <c r="C524" s="404" t="s">
        <v>1045</v>
      </c>
      <c r="D524" s="404" t="s">
        <v>83</v>
      </c>
      <c r="E524" s="405">
        <v>7</v>
      </c>
      <c r="F524" s="405">
        <v>0</v>
      </c>
      <c r="G524" s="406">
        <f t="shared" si="17"/>
        <v>0</v>
      </c>
    </row>
    <row r="525" spans="1:7" ht="12">
      <c r="A525" s="402" t="s">
        <v>750</v>
      </c>
      <c r="B525" s="575" t="s">
        <v>1047</v>
      </c>
      <c r="C525" s="404" t="s">
        <v>1048</v>
      </c>
      <c r="D525" s="404" t="s">
        <v>157</v>
      </c>
      <c r="E525" s="405">
        <v>6</v>
      </c>
      <c r="F525" s="405">
        <v>0</v>
      </c>
      <c r="G525" s="406">
        <f t="shared" si="17"/>
        <v>0</v>
      </c>
    </row>
    <row r="526" spans="1:7" ht="12">
      <c r="A526" s="402" t="s">
        <v>753</v>
      </c>
      <c r="B526" s="575" t="s">
        <v>1050</v>
      </c>
      <c r="C526" s="404" t="s">
        <v>1051</v>
      </c>
      <c r="D526" s="404" t="s">
        <v>157</v>
      </c>
      <c r="E526" s="405">
        <v>6.4</v>
      </c>
      <c r="F526" s="405">
        <v>0</v>
      </c>
      <c r="G526" s="406">
        <f t="shared" si="17"/>
        <v>0</v>
      </c>
    </row>
    <row r="527" spans="1:7" ht="12">
      <c r="A527" s="402" t="s">
        <v>755</v>
      </c>
      <c r="B527" s="573" t="s">
        <v>1053</v>
      </c>
      <c r="C527" s="404" t="s">
        <v>1054</v>
      </c>
      <c r="D527" s="404" t="s">
        <v>157</v>
      </c>
      <c r="E527" s="405">
        <v>8</v>
      </c>
      <c r="F527" s="405">
        <v>0</v>
      </c>
      <c r="G527" s="406">
        <f t="shared" si="17"/>
        <v>0</v>
      </c>
    </row>
    <row r="528" spans="1:7" ht="12">
      <c r="A528" s="402" t="s">
        <v>762</v>
      </c>
      <c r="B528" s="573" t="s">
        <v>1056</v>
      </c>
      <c r="C528" s="404" t="s">
        <v>1057</v>
      </c>
      <c r="D528" s="404" t="s">
        <v>157</v>
      </c>
      <c r="E528" s="405">
        <v>6</v>
      </c>
      <c r="F528" s="405">
        <v>0</v>
      </c>
      <c r="G528" s="406">
        <f t="shared" si="17"/>
        <v>0</v>
      </c>
    </row>
    <row r="529" spans="1:7" ht="12">
      <c r="A529" s="402" t="s">
        <v>765</v>
      </c>
      <c r="B529" s="573" t="s">
        <v>1059</v>
      </c>
      <c r="C529" s="404" t="s">
        <v>1060</v>
      </c>
      <c r="D529" s="404" t="s">
        <v>83</v>
      </c>
      <c r="E529" s="405">
        <v>10</v>
      </c>
      <c r="F529" s="405">
        <v>0</v>
      </c>
      <c r="G529" s="406">
        <f t="shared" si="17"/>
        <v>0</v>
      </c>
    </row>
    <row r="530" spans="1:7" ht="12">
      <c r="A530" s="402" t="s">
        <v>768</v>
      </c>
      <c r="B530" s="573" t="s">
        <v>1062</v>
      </c>
      <c r="C530" s="404" t="s">
        <v>1063</v>
      </c>
      <c r="D530" s="404" t="s">
        <v>83</v>
      </c>
      <c r="E530" s="405">
        <v>12</v>
      </c>
      <c r="F530" s="405">
        <v>0</v>
      </c>
      <c r="G530" s="406">
        <f t="shared" si="17"/>
        <v>0</v>
      </c>
    </row>
    <row r="531" spans="1:7" ht="12.75" thickBot="1">
      <c r="A531" s="584" t="s">
        <v>771</v>
      </c>
      <c r="B531" s="635" t="s">
        <v>1065</v>
      </c>
      <c r="C531" s="593" t="s">
        <v>1066</v>
      </c>
      <c r="D531" s="593" t="s">
        <v>83</v>
      </c>
      <c r="E531" s="594">
        <v>60</v>
      </c>
      <c r="F531" s="594">
        <v>0</v>
      </c>
      <c r="G531" s="588">
        <f t="shared" si="17"/>
        <v>0</v>
      </c>
    </row>
    <row r="532" spans="1:7" ht="12.75" thickTop="1">
      <c r="A532" s="579"/>
      <c r="B532" s="589"/>
      <c r="C532" s="581" t="s">
        <v>160</v>
      </c>
      <c r="D532" s="581"/>
      <c r="E532" s="590"/>
      <c r="F532" s="590"/>
      <c r="G532" s="590">
        <f>SUM(G522:G531)</f>
        <v>0</v>
      </c>
    </row>
    <row r="533" spans="1:7" ht="12">
      <c r="A533" s="402"/>
      <c r="B533" s="563" t="s">
        <v>45</v>
      </c>
      <c r="C533" s="564" t="s">
        <v>1067</v>
      </c>
      <c r="D533" s="404"/>
      <c r="E533" s="405"/>
      <c r="F533" s="405"/>
      <c r="G533" s="405"/>
    </row>
    <row r="534" spans="1:7" ht="12">
      <c r="A534" s="402" t="s">
        <v>777</v>
      </c>
      <c r="B534" s="403" t="s">
        <v>1069</v>
      </c>
      <c r="C534" s="404" t="s">
        <v>1070</v>
      </c>
      <c r="D534" s="404" t="s">
        <v>83</v>
      </c>
      <c r="E534" s="405">
        <v>1</v>
      </c>
      <c r="F534" s="405">
        <v>0</v>
      </c>
      <c r="G534" s="406">
        <f>PRODUCT(F534*E534)</f>
        <v>0</v>
      </c>
    </row>
    <row r="535" spans="1:7" ht="12">
      <c r="A535" s="402" t="s">
        <v>780</v>
      </c>
      <c r="B535" s="403" t="s">
        <v>1075</v>
      </c>
      <c r="C535" s="404" t="s">
        <v>1076</v>
      </c>
      <c r="D535" s="404" t="s">
        <v>83</v>
      </c>
      <c r="E535" s="405">
        <v>1</v>
      </c>
      <c r="F535" s="405">
        <v>0</v>
      </c>
      <c r="G535" s="406">
        <f>PRODUCT(F535*E535)</f>
        <v>0</v>
      </c>
    </row>
    <row r="536" spans="1:7" ht="12">
      <c r="A536" s="402" t="s">
        <v>785</v>
      </c>
      <c r="B536" s="403" t="s">
        <v>1081</v>
      </c>
      <c r="C536" s="404" t="s">
        <v>1209</v>
      </c>
      <c r="D536" s="404" t="s">
        <v>83</v>
      </c>
      <c r="E536" s="405">
        <v>1</v>
      </c>
      <c r="F536" s="405">
        <v>0</v>
      </c>
      <c r="G536" s="406">
        <f>PRODUCT(F536*E536)</f>
        <v>0</v>
      </c>
    </row>
    <row r="537" spans="1:7" ht="12.75" thickBot="1">
      <c r="A537" s="584" t="s">
        <v>790</v>
      </c>
      <c r="B537" s="591" t="s">
        <v>1084</v>
      </c>
      <c r="C537" s="593" t="s">
        <v>1085</v>
      </c>
      <c r="D537" s="593" t="s">
        <v>83</v>
      </c>
      <c r="E537" s="594">
        <v>3</v>
      </c>
      <c r="F537" s="594">
        <v>0</v>
      </c>
      <c r="G537" s="588">
        <f>PRODUCT(F537*E537)</f>
        <v>0</v>
      </c>
    </row>
    <row r="538" spans="1:7" ht="12.75" thickTop="1">
      <c r="A538" s="579"/>
      <c r="B538" s="589"/>
      <c r="C538" s="581" t="s">
        <v>160</v>
      </c>
      <c r="D538" s="581"/>
      <c r="E538" s="590"/>
      <c r="F538" s="590"/>
      <c r="G538" s="590">
        <f>SUM(G534:G537)</f>
        <v>0</v>
      </c>
    </row>
    <row r="539" spans="1:7" ht="12">
      <c r="A539" s="402"/>
      <c r="B539" s="563" t="s">
        <v>49</v>
      </c>
      <c r="C539" s="564" t="s">
        <v>1106</v>
      </c>
      <c r="D539" s="404"/>
      <c r="E539" s="405"/>
      <c r="F539" s="405"/>
      <c r="G539" s="406"/>
    </row>
    <row r="540" spans="1:7" ht="12">
      <c r="A540" s="402" t="s">
        <v>794</v>
      </c>
      <c r="B540" s="403" t="s">
        <v>1102</v>
      </c>
      <c r="C540" s="404" t="s">
        <v>933</v>
      </c>
      <c r="D540" s="404" t="s">
        <v>157</v>
      </c>
      <c r="E540" s="405">
        <v>98</v>
      </c>
      <c r="F540" s="405">
        <v>0</v>
      </c>
      <c r="G540" s="406">
        <f>PRODUCT(F540*E540)</f>
        <v>0</v>
      </c>
    </row>
    <row r="541" spans="1:7" ht="12.75" thickBot="1">
      <c r="A541" s="584" t="s">
        <v>798</v>
      </c>
      <c r="B541" s="591" t="s">
        <v>1117</v>
      </c>
      <c r="C541" s="593" t="s">
        <v>948</v>
      </c>
      <c r="D541" s="593" t="s">
        <v>157</v>
      </c>
      <c r="E541" s="594">
        <v>30</v>
      </c>
      <c r="F541" s="594">
        <v>0</v>
      </c>
      <c r="G541" s="588">
        <f>PRODUCT(F541*E541)</f>
        <v>0</v>
      </c>
    </row>
    <row r="542" spans="1:7" ht="12.75" thickTop="1">
      <c r="A542" s="579"/>
      <c r="B542" s="589"/>
      <c r="C542" s="581" t="s">
        <v>160</v>
      </c>
      <c r="D542" s="581"/>
      <c r="E542" s="590"/>
      <c r="F542" s="590"/>
      <c r="G542" s="590">
        <f>SUM(G540:G541)</f>
        <v>0</v>
      </c>
    </row>
    <row r="543" spans="1:7" ht="12">
      <c r="A543" s="402"/>
      <c r="B543" s="563" t="s">
        <v>55</v>
      </c>
      <c r="C543" s="564" t="s">
        <v>1160</v>
      </c>
      <c r="D543" s="404"/>
      <c r="E543" s="405"/>
      <c r="F543" s="405"/>
      <c r="G543" s="405"/>
    </row>
    <row r="544" spans="1:7" ht="12">
      <c r="A544" s="402" t="s">
        <v>802</v>
      </c>
      <c r="B544" s="403" t="s">
        <v>1162</v>
      </c>
      <c r="C544" s="404" t="s">
        <v>1011</v>
      </c>
      <c r="D544" s="404" t="s">
        <v>83</v>
      </c>
      <c r="E544" s="405">
        <v>2</v>
      </c>
      <c r="F544" s="405">
        <v>0</v>
      </c>
      <c r="G544" s="406">
        <f aca="true" t="shared" si="18" ref="G544:G549">PRODUCT(F544*E544)</f>
        <v>0</v>
      </c>
    </row>
    <row r="545" spans="1:7" ht="12">
      <c r="A545" s="402" t="s">
        <v>806</v>
      </c>
      <c r="B545" s="403" t="s">
        <v>1164</v>
      </c>
      <c r="C545" s="404" t="s">
        <v>1017</v>
      </c>
      <c r="D545" s="404" t="s">
        <v>83</v>
      </c>
      <c r="E545" s="405">
        <v>4</v>
      </c>
      <c r="F545" s="405">
        <v>0</v>
      </c>
      <c r="G545" s="406">
        <f t="shared" si="18"/>
        <v>0</v>
      </c>
    </row>
    <row r="546" spans="1:7" ht="12">
      <c r="A546" s="402" t="s">
        <v>809</v>
      </c>
      <c r="B546" s="403" t="s">
        <v>1166</v>
      </c>
      <c r="C546" s="404" t="s">
        <v>1020</v>
      </c>
      <c r="D546" s="404" t="s">
        <v>83</v>
      </c>
      <c r="E546" s="405">
        <v>2</v>
      </c>
      <c r="F546" s="405">
        <v>0</v>
      </c>
      <c r="G546" s="406">
        <f t="shared" si="18"/>
        <v>0</v>
      </c>
    </row>
    <row r="547" spans="1:7" ht="12">
      <c r="A547" s="402" t="s">
        <v>813</v>
      </c>
      <c r="B547" s="403" t="s">
        <v>1172</v>
      </c>
      <c r="C547" s="404" t="s">
        <v>1029</v>
      </c>
      <c r="D547" s="404" t="s">
        <v>83</v>
      </c>
      <c r="E547" s="405">
        <v>8</v>
      </c>
      <c r="F547" s="405">
        <v>0</v>
      </c>
      <c r="G547" s="406">
        <f t="shared" si="18"/>
        <v>0</v>
      </c>
    </row>
    <row r="548" spans="1:7" ht="12">
      <c r="A548" s="402" t="s">
        <v>816</v>
      </c>
      <c r="B548" s="403" t="s">
        <v>1174</v>
      </c>
      <c r="C548" s="404" t="s">
        <v>1032</v>
      </c>
      <c r="D548" s="404" t="s">
        <v>83</v>
      </c>
      <c r="E548" s="405">
        <v>10</v>
      </c>
      <c r="F548" s="405">
        <v>0</v>
      </c>
      <c r="G548" s="406">
        <f t="shared" si="18"/>
        <v>0</v>
      </c>
    </row>
    <row r="549" spans="1:7" ht="12.75" thickBot="1">
      <c r="A549" s="584" t="s">
        <v>820</v>
      </c>
      <c r="B549" s="591" t="s">
        <v>1176</v>
      </c>
      <c r="C549" s="593" t="s">
        <v>1035</v>
      </c>
      <c r="D549" s="593" t="s">
        <v>83</v>
      </c>
      <c r="E549" s="594">
        <v>1</v>
      </c>
      <c r="F549" s="594">
        <v>0</v>
      </c>
      <c r="G549" s="588">
        <f t="shared" si="18"/>
        <v>0</v>
      </c>
    </row>
    <row r="550" spans="1:7" ht="12.75" thickTop="1">
      <c r="A550" s="579"/>
      <c r="B550" s="589"/>
      <c r="C550" s="581" t="s">
        <v>160</v>
      </c>
      <c r="D550" s="581"/>
      <c r="E550" s="590"/>
      <c r="F550" s="590"/>
      <c r="G550" s="590">
        <f>SUM(G544:G549)</f>
        <v>0</v>
      </c>
    </row>
    <row r="551" spans="1:7" ht="12">
      <c r="A551" s="402"/>
      <c r="B551" s="563" t="s">
        <v>57</v>
      </c>
      <c r="C551" s="564" t="s">
        <v>1177</v>
      </c>
      <c r="D551" s="404"/>
      <c r="E551" s="405"/>
      <c r="F551" s="405"/>
      <c r="G551" s="405"/>
    </row>
    <row r="552" spans="1:7" ht="12">
      <c r="A552" s="402" t="s">
        <v>823</v>
      </c>
      <c r="B552" s="403" t="s">
        <v>1179</v>
      </c>
      <c r="C552" s="404" t="s">
        <v>1039</v>
      </c>
      <c r="D552" s="404" t="s">
        <v>157</v>
      </c>
      <c r="E552" s="405">
        <v>6.5</v>
      </c>
      <c r="F552" s="405">
        <v>0</v>
      </c>
      <c r="G552" s="406">
        <f aca="true" t="shared" si="19" ref="G552:G561">PRODUCT(F552*E552)</f>
        <v>0</v>
      </c>
    </row>
    <row r="553" spans="1:7" ht="12">
      <c r="A553" s="402" t="s">
        <v>826</v>
      </c>
      <c r="B553" s="403" t="s">
        <v>1181</v>
      </c>
      <c r="C553" s="404" t="s">
        <v>1042</v>
      </c>
      <c r="D553" s="404" t="s">
        <v>157</v>
      </c>
      <c r="E553" s="405">
        <v>6.5</v>
      </c>
      <c r="F553" s="405">
        <v>0</v>
      </c>
      <c r="G553" s="406">
        <f t="shared" si="19"/>
        <v>0</v>
      </c>
    </row>
    <row r="554" spans="1:7" ht="12">
      <c r="A554" s="402" t="s">
        <v>830</v>
      </c>
      <c r="B554" s="403" t="s">
        <v>1183</v>
      </c>
      <c r="C554" s="404" t="s">
        <v>1045</v>
      </c>
      <c r="D554" s="404" t="s">
        <v>83</v>
      </c>
      <c r="E554" s="405">
        <v>7</v>
      </c>
      <c r="F554" s="405">
        <v>0</v>
      </c>
      <c r="G554" s="406">
        <f t="shared" si="19"/>
        <v>0</v>
      </c>
    </row>
    <row r="555" spans="1:7" ht="12">
      <c r="A555" s="402" t="s">
        <v>833</v>
      </c>
      <c r="B555" s="403" t="s">
        <v>1185</v>
      </c>
      <c r="C555" s="404" t="s">
        <v>1048</v>
      </c>
      <c r="D555" s="404" t="s">
        <v>157</v>
      </c>
      <c r="E555" s="405">
        <v>6</v>
      </c>
      <c r="F555" s="405">
        <v>0</v>
      </c>
      <c r="G555" s="406">
        <f t="shared" si="19"/>
        <v>0</v>
      </c>
    </row>
    <row r="556" spans="1:7" ht="12">
      <c r="A556" s="402" t="s">
        <v>836</v>
      </c>
      <c r="B556" s="403" t="s">
        <v>1187</v>
      </c>
      <c r="C556" s="404" t="s">
        <v>1051</v>
      </c>
      <c r="D556" s="404" t="s">
        <v>157</v>
      </c>
      <c r="E556" s="405">
        <v>6.4</v>
      </c>
      <c r="F556" s="405">
        <v>0</v>
      </c>
      <c r="G556" s="406">
        <f t="shared" si="19"/>
        <v>0</v>
      </c>
    </row>
    <row r="557" spans="1:7" ht="12">
      <c r="A557" s="402" t="s">
        <v>839</v>
      </c>
      <c r="B557" s="403" t="s">
        <v>1189</v>
      </c>
      <c r="C557" s="404" t="s">
        <v>1054</v>
      </c>
      <c r="D557" s="404" t="s">
        <v>157</v>
      </c>
      <c r="E557" s="405">
        <v>8</v>
      </c>
      <c r="F557" s="405">
        <v>0</v>
      </c>
      <c r="G557" s="406">
        <f t="shared" si="19"/>
        <v>0</v>
      </c>
    </row>
    <row r="558" spans="1:7" ht="12">
      <c r="A558" s="402" t="s">
        <v>842</v>
      </c>
      <c r="B558" s="403" t="s">
        <v>1191</v>
      </c>
      <c r="C558" s="404" t="s">
        <v>1057</v>
      </c>
      <c r="D558" s="404" t="s">
        <v>157</v>
      </c>
      <c r="E558" s="405">
        <v>8</v>
      </c>
      <c r="F558" s="405">
        <v>0</v>
      </c>
      <c r="G558" s="406">
        <f t="shared" si="19"/>
        <v>0</v>
      </c>
    </row>
    <row r="559" spans="1:7" ht="12">
      <c r="A559" s="402" t="s">
        <v>845</v>
      </c>
      <c r="B559" s="403" t="s">
        <v>1193</v>
      </c>
      <c r="C559" s="404" t="s">
        <v>1060</v>
      </c>
      <c r="D559" s="404" t="s">
        <v>83</v>
      </c>
      <c r="E559" s="405">
        <v>10</v>
      </c>
      <c r="F559" s="405">
        <v>0</v>
      </c>
      <c r="G559" s="406">
        <f t="shared" si="19"/>
        <v>0</v>
      </c>
    </row>
    <row r="560" spans="1:7" ht="12">
      <c r="A560" s="402" t="s">
        <v>848</v>
      </c>
      <c r="B560" s="403" t="s">
        <v>1195</v>
      </c>
      <c r="C560" s="404" t="s">
        <v>1063</v>
      </c>
      <c r="D560" s="404" t="s">
        <v>83</v>
      </c>
      <c r="E560" s="405">
        <v>12</v>
      </c>
      <c r="F560" s="405">
        <v>0</v>
      </c>
      <c r="G560" s="406">
        <f t="shared" si="19"/>
        <v>0</v>
      </c>
    </row>
    <row r="561" spans="1:7" ht="12.75" thickBot="1">
      <c r="A561" s="584" t="s">
        <v>851</v>
      </c>
      <c r="B561" s="591" t="s">
        <v>1197</v>
      </c>
      <c r="C561" s="593" t="s">
        <v>1066</v>
      </c>
      <c r="D561" s="593" t="s">
        <v>83</v>
      </c>
      <c r="E561" s="594">
        <v>60</v>
      </c>
      <c r="F561" s="594">
        <v>0</v>
      </c>
      <c r="G561" s="588">
        <f t="shared" si="19"/>
        <v>0</v>
      </c>
    </row>
    <row r="562" spans="1:7" ht="12.75" thickTop="1">
      <c r="A562" s="579"/>
      <c r="B562" s="589"/>
      <c r="C562" s="581" t="s">
        <v>160</v>
      </c>
      <c r="D562" s="581"/>
      <c r="E562" s="590"/>
      <c r="F562" s="590"/>
      <c r="G562" s="590">
        <f>SUM(G552:G561)</f>
        <v>0</v>
      </c>
    </row>
    <row r="563" spans="1:7" ht="12">
      <c r="A563" s="402"/>
      <c r="B563" s="563" t="s">
        <v>59</v>
      </c>
      <c r="C563" s="564" t="s">
        <v>1198</v>
      </c>
      <c r="D563" s="404"/>
      <c r="E563" s="405"/>
      <c r="F563" s="405"/>
      <c r="G563" s="405"/>
    </row>
    <row r="564" spans="1:7" ht="12">
      <c r="A564" s="402" t="s">
        <v>854</v>
      </c>
      <c r="B564" s="403" t="s">
        <v>1200</v>
      </c>
      <c r="C564" s="404" t="s">
        <v>1070</v>
      </c>
      <c r="D564" s="404" t="s">
        <v>83</v>
      </c>
      <c r="E564" s="405">
        <v>1</v>
      </c>
      <c r="F564" s="405">
        <v>0</v>
      </c>
      <c r="G564" s="406">
        <f>PRODUCT(F564*E564)</f>
        <v>0</v>
      </c>
    </row>
    <row r="565" spans="1:7" ht="12">
      <c r="A565" s="402" t="s">
        <v>858</v>
      </c>
      <c r="B565" s="403" t="s">
        <v>1204</v>
      </c>
      <c r="C565" s="404" t="s">
        <v>1076</v>
      </c>
      <c r="D565" s="404" t="s">
        <v>83</v>
      </c>
      <c r="E565" s="405">
        <v>1</v>
      </c>
      <c r="F565" s="405">
        <v>0</v>
      </c>
      <c r="G565" s="406">
        <f>PRODUCT(F565*E565)</f>
        <v>0</v>
      </c>
    </row>
    <row r="566" spans="1:7" ht="12.75" thickBot="1">
      <c r="A566" s="584" t="s">
        <v>861</v>
      </c>
      <c r="B566" s="591" t="s">
        <v>1211</v>
      </c>
      <c r="C566" s="593" t="s">
        <v>1085</v>
      </c>
      <c r="D566" s="593" t="s">
        <v>83</v>
      </c>
      <c r="E566" s="594">
        <v>3</v>
      </c>
      <c r="F566" s="594">
        <v>0</v>
      </c>
      <c r="G566" s="588">
        <f>PRODUCT(F566*E566)</f>
        <v>0</v>
      </c>
    </row>
    <row r="567" spans="1:7" ht="12.75" thickTop="1">
      <c r="A567" s="579"/>
      <c r="B567" s="589"/>
      <c r="C567" s="581" t="s">
        <v>160</v>
      </c>
      <c r="D567" s="581"/>
      <c r="E567" s="590"/>
      <c r="F567" s="590"/>
      <c r="G567" s="590">
        <f>SUM(G564:G566)</f>
        <v>0</v>
      </c>
    </row>
    <row r="568" spans="1:7" ht="12">
      <c r="A568" s="402"/>
      <c r="B568" s="563" t="s">
        <v>35</v>
      </c>
      <c r="C568" s="564" t="s">
        <v>1363</v>
      </c>
      <c r="D568" s="403"/>
      <c r="E568" s="405"/>
      <c r="F568" s="405"/>
      <c r="G568" s="405"/>
    </row>
    <row r="569" spans="1:7" ht="12">
      <c r="A569" s="402" t="s">
        <v>864</v>
      </c>
      <c r="B569" s="403" t="s">
        <v>932</v>
      </c>
      <c r="C569" s="404" t="s">
        <v>933</v>
      </c>
      <c r="D569" s="403" t="s">
        <v>157</v>
      </c>
      <c r="E569" s="405">
        <v>169</v>
      </c>
      <c r="F569" s="405">
        <v>0</v>
      </c>
      <c r="G569" s="406">
        <f aca="true" t="shared" si="20" ref="G569:G574">PRODUCT(F569*E569)</f>
        <v>0</v>
      </c>
    </row>
    <row r="570" spans="1:7" ht="12">
      <c r="A570" s="402" t="s">
        <v>866</v>
      </c>
      <c r="B570" s="403" t="s">
        <v>1088</v>
      </c>
      <c r="C570" s="404" t="s">
        <v>1032</v>
      </c>
      <c r="D570" s="403" t="s">
        <v>104</v>
      </c>
      <c r="E570" s="405">
        <v>16</v>
      </c>
      <c r="F570" s="405">
        <v>0</v>
      </c>
      <c r="G570" s="406">
        <f t="shared" si="20"/>
        <v>0</v>
      </c>
    </row>
    <row r="571" spans="1:7" ht="12">
      <c r="A571" s="402" t="s">
        <v>869</v>
      </c>
      <c r="B571" s="403" t="s">
        <v>1090</v>
      </c>
      <c r="C571" s="404" t="s">
        <v>1091</v>
      </c>
      <c r="D571" s="403" t="s">
        <v>104</v>
      </c>
      <c r="E571" s="405">
        <v>12</v>
      </c>
      <c r="F571" s="405">
        <v>0</v>
      </c>
      <c r="G571" s="406">
        <f t="shared" si="20"/>
        <v>0</v>
      </c>
    </row>
    <row r="572" spans="1:7" ht="12">
      <c r="A572" s="402" t="s">
        <v>871</v>
      </c>
      <c r="B572" s="403" t="s">
        <v>1093</v>
      </c>
      <c r="C572" s="404" t="s">
        <v>1094</v>
      </c>
      <c r="D572" s="403" t="s">
        <v>104</v>
      </c>
      <c r="E572" s="405">
        <v>25</v>
      </c>
      <c r="F572" s="405">
        <v>0</v>
      </c>
      <c r="G572" s="406">
        <f t="shared" si="20"/>
        <v>0</v>
      </c>
    </row>
    <row r="573" spans="1:7" ht="12">
      <c r="A573" s="402" t="s">
        <v>874</v>
      </c>
      <c r="B573" s="403" t="s">
        <v>1096</v>
      </c>
      <c r="C573" s="404" t="s">
        <v>1097</v>
      </c>
      <c r="D573" s="403" t="s">
        <v>104</v>
      </c>
      <c r="E573" s="405">
        <v>25</v>
      </c>
      <c r="F573" s="405">
        <v>0</v>
      </c>
      <c r="G573" s="406">
        <f t="shared" si="20"/>
        <v>0</v>
      </c>
    </row>
    <row r="574" spans="1:7" ht="12.75" thickBot="1">
      <c r="A574" s="584" t="s">
        <v>877</v>
      </c>
      <c r="B574" s="591" t="s">
        <v>1104</v>
      </c>
      <c r="C574" s="593" t="s">
        <v>1105</v>
      </c>
      <c r="D574" s="591" t="s">
        <v>104</v>
      </c>
      <c r="E574" s="594">
        <v>21</v>
      </c>
      <c r="F574" s="594">
        <v>0</v>
      </c>
      <c r="G574" s="588">
        <f t="shared" si="20"/>
        <v>0</v>
      </c>
    </row>
    <row r="575" spans="1:7" ht="12.75" thickTop="1">
      <c r="A575" s="579"/>
      <c r="B575" s="589"/>
      <c r="C575" s="581" t="s">
        <v>160</v>
      </c>
      <c r="D575" s="589"/>
      <c r="E575" s="590"/>
      <c r="F575" s="590"/>
      <c r="G575" s="590">
        <f>SUM(G569:G574)</f>
        <v>0</v>
      </c>
    </row>
    <row r="576" spans="1:7" ht="12">
      <c r="A576" s="402"/>
      <c r="B576" s="563" t="s">
        <v>49</v>
      </c>
      <c r="C576" s="564" t="s">
        <v>1364</v>
      </c>
      <c r="D576" s="403"/>
      <c r="E576" s="405"/>
      <c r="F576" s="405"/>
      <c r="G576" s="406"/>
    </row>
    <row r="577" spans="1:7" ht="12">
      <c r="A577" s="402" t="s">
        <v>880</v>
      </c>
      <c r="B577" s="403" t="s">
        <v>1102</v>
      </c>
      <c r="C577" s="404" t="s">
        <v>933</v>
      </c>
      <c r="D577" s="403" t="s">
        <v>157</v>
      </c>
      <c r="E577" s="405">
        <v>180</v>
      </c>
      <c r="F577" s="405">
        <v>0</v>
      </c>
      <c r="G577" s="406">
        <f aca="true" t="shared" si="21" ref="G577:G584">PRODUCT(F577*E577)</f>
        <v>0</v>
      </c>
    </row>
    <row r="578" spans="1:7" ht="12">
      <c r="A578" s="402" t="s">
        <v>883</v>
      </c>
      <c r="B578" s="403" t="s">
        <v>1088</v>
      </c>
      <c r="C578" s="404" t="s">
        <v>1032</v>
      </c>
      <c r="D578" s="403" t="s">
        <v>104</v>
      </c>
      <c r="E578" s="405">
        <v>16</v>
      </c>
      <c r="F578" s="405">
        <v>0</v>
      </c>
      <c r="G578" s="406">
        <f t="shared" si="21"/>
        <v>0</v>
      </c>
    </row>
    <row r="579" spans="1:7" ht="12">
      <c r="A579" s="402" t="s">
        <v>886</v>
      </c>
      <c r="B579" s="403" t="s">
        <v>1090</v>
      </c>
      <c r="C579" s="404" t="s">
        <v>1091</v>
      </c>
      <c r="D579" s="403" t="s">
        <v>104</v>
      </c>
      <c r="E579" s="405">
        <v>12</v>
      </c>
      <c r="F579" s="405">
        <v>0</v>
      </c>
      <c r="G579" s="406">
        <f t="shared" si="21"/>
        <v>0</v>
      </c>
    </row>
    <row r="580" spans="1:7" ht="12">
      <c r="A580" s="402" t="s">
        <v>889</v>
      </c>
      <c r="B580" s="403" t="s">
        <v>1228</v>
      </c>
      <c r="C580" s="404" t="s">
        <v>1229</v>
      </c>
      <c r="D580" s="403" t="s">
        <v>104</v>
      </c>
      <c r="E580" s="405">
        <v>28</v>
      </c>
      <c r="F580" s="405">
        <v>0</v>
      </c>
      <c r="G580" s="406">
        <f t="shared" si="21"/>
        <v>0</v>
      </c>
    </row>
    <row r="581" spans="1:7" ht="12">
      <c r="A581" s="402" t="s">
        <v>892</v>
      </c>
      <c r="B581" s="403" t="s">
        <v>1093</v>
      </c>
      <c r="C581" s="404" t="s">
        <v>1216</v>
      </c>
      <c r="D581" s="403" t="s">
        <v>104</v>
      </c>
      <c r="E581" s="405">
        <v>25</v>
      </c>
      <c r="F581" s="405">
        <v>0</v>
      </c>
      <c r="G581" s="406">
        <f t="shared" si="21"/>
        <v>0</v>
      </c>
    </row>
    <row r="582" spans="1:7" ht="12">
      <c r="A582" s="402" t="s">
        <v>895</v>
      </c>
      <c r="B582" s="403" t="s">
        <v>1099</v>
      </c>
      <c r="C582" s="404" t="s">
        <v>1220</v>
      </c>
      <c r="D582" s="403" t="s">
        <v>104</v>
      </c>
      <c r="E582" s="405">
        <v>25</v>
      </c>
      <c r="F582" s="405">
        <v>0</v>
      </c>
      <c r="G582" s="406">
        <f t="shared" si="21"/>
        <v>0</v>
      </c>
    </row>
    <row r="583" spans="1:7" ht="12">
      <c r="A583" s="402" t="s">
        <v>898</v>
      </c>
      <c r="B583" s="403" t="s">
        <v>1104</v>
      </c>
      <c r="C583" s="404" t="s">
        <v>1222</v>
      </c>
      <c r="D583" s="403" t="s">
        <v>104</v>
      </c>
      <c r="E583" s="405">
        <v>25</v>
      </c>
      <c r="F583" s="405">
        <v>0</v>
      </c>
      <c r="G583" s="406">
        <f t="shared" si="21"/>
        <v>0</v>
      </c>
    </row>
    <row r="584" spans="1:7" ht="12.75" thickBot="1">
      <c r="A584" s="584" t="s">
        <v>900</v>
      </c>
      <c r="B584" s="591" t="s">
        <v>1144</v>
      </c>
      <c r="C584" s="593" t="s">
        <v>1290</v>
      </c>
      <c r="D584" s="591" t="s">
        <v>83</v>
      </c>
      <c r="E584" s="594">
        <v>1</v>
      </c>
      <c r="F584" s="594">
        <v>0</v>
      </c>
      <c r="G584" s="588">
        <f t="shared" si="21"/>
        <v>0</v>
      </c>
    </row>
    <row r="585" spans="1:7" ht="12.75" thickTop="1">
      <c r="A585" s="579"/>
      <c r="B585" s="589"/>
      <c r="C585" s="581" t="s">
        <v>160</v>
      </c>
      <c r="D585" s="589"/>
      <c r="E585" s="590"/>
      <c r="F585" s="590"/>
      <c r="G585" s="590">
        <f>SUM(G577:G584)</f>
        <v>0</v>
      </c>
    </row>
    <row r="586" spans="1:7" ht="12">
      <c r="A586" s="576"/>
      <c r="B586" s="563" t="s">
        <v>63</v>
      </c>
      <c r="C586" s="564" t="s">
        <v>64</v>
      </c>
      <c r="D586" s="563"/>
      <c r="E586" s="577"/>
      <c r="F586" s="577"/>
      <c r="G586" s="577"/>
    </row>
    <row r="587" spans="1:7" ht="12">
      <c r="A587" s="402" t="s">
        <v>903</v>
      </c>
      <c r="B587" s="403" t="s">
        <v>1252</v>
      </c>
      <c r="C587" s="404" t="s">
        <v>1291</v>
      </c>
      <c r="D587" s="403" t="s">
        <v>104</v>
      </c>
      <c r="E587" s="405">
        <v>1</v>
      </c>
      <c r="F587" s="405">
        <v>0</v>
      </c>
      <c r="G587" s="406">
        <f>PRODUCT(F587*E587)</f>
        <v>0</v>
      </c>
    </row>
    <row r="588" spans="1:7" ht="12">
      <c r="A588" s="402" t="s">
        <v>907</v>
      </c>
      <c r="B588" s="403" t="s">
        <v>1231</v>
      </c>
      <c r="C588" s="404" t="s">
        <v>1232</v>
      </c>
      <c r="D588" s="403" t="s">
        <v>157</v>
      </c>
      <c r="E588" s="405">
        <v>11</v>
      </c>
      <c r="F588" s="405">
        <v>0</v>
      </c>
      <c r="G588" s="406">
        <f>PRODUCT(F588*E588)</f>
        <v>0</v>
      </c>
    </row>
    <row r="589" spans="1:7" ht="12">
      <c r="A589" s="402"/>
      <c r="B589" s="425" t="s">
        <v>1362</v>
      </c>
      <c r="C589" s="404">
        <f>(3.4+2.4+5.2)</f>
        <v>11</v>
      </c>
      <c r="D589" s="403"/>
      <c r="E589" s="405"/>
      <c r="F589" s="405"/>
      <c r="G589" s="405"/>
    </row>
    <row r="590" spans="1:7" ht="12">
      <c r="A590" s="402"/>
      <c r="B590" s="425"/>
      <c r="C590" s="404"/>
      <c r="D590" s="403"/>
      <c r="E590" s="405"/>
      <c r="F590" s="405"/>
      <c r="G590" s="405"/>
    </row>
    <row r="591" spans="1:7" ht="12">
      <c r="A591" s="402" t="s">
        <v>910</v>
      </c>
      <c r="B591" s="403" t="s">
        <v>1236</v>
      </c>
      <c r="C591" s="404" t="s">
        <v>1237</v>
      </c>
      <c r="D591" s="403" t="s">
        <v>104</v>
      </c>
      <c r="E591" s="405">
        <v>2</v>
      </c>
      <c r="F591" s="405">
        <v>0</v>
      </c>
      <c r="G591" s="406">
        <f aca="true" t="shared" si="22" ref="G591:G596">PRODUCT(F591*E591)</f>
        <v>0</v>
      </c>
    </row>
    <row r="592" spans="1:7" ht="12">
      <c r="A592" s="402" t="s">
        <v>914</v>
      </c>
      <c r="B592" s="403" t="s">
        <v>1239</v>
      </c>
      <c r="C592" s="404" t="s">
        <v>1240</v>
      </c>
      <c r="D592" s="403" t="s">
        <v>104</v>
      </c>
      <c r="E592" s="405">
        <v>1</v>
      </c>
      <c r="F592" s="405">
        <v>0</v>
      </c>
      <c r="G592" s="406">
        <f t="shared" si="22"/>
        <v>0</v>
      </c>
    </row>
    <row r="593" spans="1:7" ht="12">
      <c r="A593" s="402" t="s">
        <v>917</v>
      </c>
      <c r="B593" s="403" t="s">
        <v>1242</v>
      </c>
      <c r="C593" s="404" t="s">
        <v>1243</v>
      </c>
      <c r="D593" s="403" t="s">
        <v>104</v>
      </c>
      <c r="E593" s="405">
        <v>3</v>
      </c>
      <c r="F593" s="405">
        <v>0</v>
      </c>
      <c r="G593" s="406">
        <f t="shared" si="22"/>
        <v>0</v>
      </c>
    </row>
    <row r="594" spans="1:7" ht="12">
      <c r="A594" s="402" t="s">
        <v>919</v>
      </c>
      <c r="B594" s="403" t="s">
        <v>1292</v>
      </c>
      <c r="C594" s="404" t="s">
        <v>1255</v>
      </c>
      <c r="D594" s="403" t="s">
        <v>593</v>
      </c>
      <c r="E594" s="405">
        <v>4</v>
      </c>
      <c r="F594" s="405">
        <v>0</v>
      </c>
      <c r="G594" s="406">
        <f t="shared" si="22"/>
        <v>0</v>
      </c>
    </row>
    <row r="595" spans="1:7" ht="12">
      <c r="A595" s="402" t="s">
        <v>927</v>
      </c>
      <c r="B595" s="403" t="s">
        <v>1257</v>
      </c>
      <c r="C595" s="404" t="s">
        <v>1258</v>
      </c>
      <c r="D595" s="403" t="s">
        <v>555</v>
      </c>
      <c r="E595" s="405">
        <f>SUM(G587:G594)/100</f>
        <v>0</v>
      </c>
      <c r="F595" s="405">
        <v>6</v>
      </c>
      <c r="G595" s="406">
        <f t="shared" si="22"/>
        <v>0</v>
      </c>
    </row>
    <row r="596" spans="1:7" ht="12.75" thickBot="1">
      <c r="A596" s="584" t="s">
        <v>931</v>
      </c>
      <c r="B596" s="591" t="s">
        <v>1260</v>
      </c>
      <c r="C596" s="593" t="s">
        <v>1261</v>
      </c>
      <c r="D596" s="591" t="s">
        <v>555</v>
      </c>
      <c r="E596" s="594">
        <f>SUM(G587:G594)/100</f>
        <v>0</v>
      </c>
      <c r="F596" s="594">
        <v>2</v>
      </c>
      <c r="G596" s="588">
        <f t="shared" si="22"/>
        <v>0</v>
      </c>
    </row>
    <row r="597" spans="1:7" ht="12.75" thickTop="1">
      <c r="A597" s="579"/>
      <c r="B597" s="630"/>
      <c r="C597" s="631" t="s">
        <v>160</v>
      </c>
      <c r="D597" s="630"/>
      <c r="E597" s="632"/>
      <c r="F597" s="632"/>
      <c r="G597" s="633">
        <f>SUM(G586:G596)</f>
        <v>0</v>
      </c>
    </row>
    <row r="598" spans="1:7" ht="12">
      <c r="A598" s="402"/>
      <c r="B598" s="563"/>
      <c r="C598" s="564" t="s">
        <v>1262</v>
      </c>
      <c r="D598" s="403"/>
      <c r="E598" s="405"/>
      <c r="F598" s="405"/>
      <c r="G598" s="405"/>
    </row>
    <row r="599" spans="1:7" ht="12">
      <c r="A599" s="402" t="s">
        <v>934</v>
      </c>
      <c r="B599" s="403" t="s">
        <v>80</v>
      </c>
      <c r="C599" s="404" t="s">
        <v>1264</v>
      </c>
      <c r="D599" s="403" t="s">
        <v>104</v>
      </c>
      <c r="E599" s="405">
        <v>1</v>
      </c>
      <c r="F599" s="405">
        <v>0</v>
      </c>
      <c r="G599" s="406">
        <f>PRODUCT(F599*E599)</f>
        <v>0</v>
      </c>
    </row>
    <row r="600" spans="1:7" ht="12">
      <c r="A600" s="402"/>
      <c r="B600" s="403"/>
      <c r="C600" s="578" t="s">
        <v>1265</v>
      </c>
      <c r="D600" s="403"/>
      <c r="E600" s="405"/>
      <c r="F600" s="405"/>
      <c r="G600" s="406"/>
    </row>
    <row r="601" spans="1:7" ht="12">
      <c r="A601" s="402" t="s">
        <v>937</v>
      </c>
      <c r="B601" s="403" t="s">
        <v>90</v>
      </c>
      <c r="C601" s="404" t="s">
        <v>1267</v>
      </c>
      <c r="D601" s="403" t="s">
        <v>1268</v>
      </c>
      <c r="E601" s="405">
        <v>2</v>
      </c>
      <c r="F601" s="405">
        <v>0</v>
      </c>
      <c r="G601" s="406">
        <f>PRODUCT(F601*E601)</f>
        <v>0</v>
      </c>
    </row>
    <row r="602" spans="1:7" ht="12">
      <c r="A602" s="402"/>
      <c r="B602" s="403"/>
      <c r="C602" s="578" t="s">
        <v>1269</v>
      </c>
      <c r="D602" s="403"/>
      <c r="E602" s="405"/>
      <c r="F602" s="405"/>
      <c r="G602" s="406"/>
    </row>
    <row r="603" spans="1:7" ht="12">
      <c r="A603" s="402" t="s">
        <v>940</v>
      </c>
      <c r="B603" s="403" t="s">
        <v>101</v>
      </c>
      <c r="C603" s="404" t="s">
        <v>1271</v>
      </c>
      <c r="D603" s="403" t="s">
        <v>104</v>
      </c>
      <c r="E603" s="405">
        <v>1</v>
      </c>
      <c r="F603" s="405">
        <v>0</v>
      </c>
      <c r="G603" s="406">
        <f>PRODUCT(F603*E603)</f>
        <v>0</v>
      </c>
    </row>
    <row r="604" spans="1:7" ht="12">
      <c r="A604" s="402" t="s">
        <v>943</v>
      </c>
      <c r="B604" s="403" t="s">
        <v>108</v>
      </c>
      <c r="C604" s="404" t="s">
        <v>1273</v>
      </c>
      <c r="D604" s="403" t="s">
        <v>104</v>
      </c>
      <c r="E604" s="405">
        <v>1</v>
      </c>
      <c r="F604" s="405">
        <v>0</v>
      </c>
      <c r="G604" s="406">
        <f>PRODUCT(F604*E604)</f>
        <v>0</v>
      </c>
    </row>
    <row r="605" spans="1:7" ht="12">
      <c r="A605" s="402" t="s">
        <v>946</v>
      </c>
      <c r="B605" s="403" t="s">
        <v>113</v>
      </c>
      <c r="C605" s="404" t="s">
        <v>1275</v>
      </c>
      <c r="D605" s="403" t="s">
        <v>104</v>
      </c>
      <c r="E605" s="405">
        <v>1</v>
      </c>
      <c r="F605" s="405">
        <v>0</v>
      </c>
      <c r="G605" s="406">
        <f>PRODUCT(F605*E605)</f>
        <v>0</v>
      </c>
    </row>
    <row r="606" spans="1:7" ht="12">
      <c r="A606" s="402"/>
      <c r="B606" s="403"/>
      <c r="C606" s="578" t="s">
        <v>1276</v>
      </c>
      <c r="D606" s="403"/>
      <c r="E606" s="405"/>
      <c r="F606" s="405"/>
      <c r="G606" s="406"/>
    </row>
    <row r="607" spans="1:7" ht="12.75" thickBot="1">
      <c r="A607" s="584" t="s">
        <v>950</v>
      </c>
      <c r="B607" s="591" t="s">
        <v>123</v>
      </c>
      <c r="C607" s="593" t="s">
        <v>1278</v>
      </c>
      <c r="D607" s="591" t="s">
        <v>104</v>
      </c>
      <c r="E607" s="594">
        <v>4</v>
      </c>
      <c r="F607" s="594">
        <v>0</v>
      </c>
      <c r="G607" s="588">
        <f>E607*F607</f>
        <v>0</v>
      </c>
    </row>
    <row r="608" spans="1:7" ht="12.75" thickTop="1">
      <c r="A608" s="579"/>
      <c r="B608" s="630"/>
      <c r="C608" s="631" t="s">
        <v>160</v>
      </c>
      <c r="D608" s="630"/>
      <c r="E608" s="632"/>
      <c r="F608" s="632"/>
      <c r="G608" s="633">
        <f>SUM(G598:G607)</f>
        <v>0</v>
      </c>
    </row>
    <row r="609" spans="2:7" ht="12">
      <c r="B609" s="394"/>
      <c r="C609" s="395"/>
      <c r="D609" s="394"/>
      <c r="E609" s="396"/>
      <c r="F609" s="396"/>
      <c r="G609" s="396"/>
    </row>
    <row r="610" spans="2:7" ht="12">
      <c r="B610" s="108"/>
      <c r="C610" s="394" t="s">
        <v>1279</v>
      </c>
      <c r="D610" s="422"/>
      <c r="E610" s="395"/>
      <c r="F610" s="261"/>
      <c r="G610" s="261"/>
    </row>
    <row r="611" spans="2:7" ht="12">
      <c r="B611" s="108"/>
      <c r="C611" s="394" t="s">
        <v>1280</v>
      </c>
      <c r="D611" s="394"/>
      <c r="E611" s="395"/>
      <c r="F611" s="397"/>
      <c r="G611" s="397"/>
    </row>
    <row r="612" spans="2:8" ht="12">
      <c r="B612" s="108"/>
      <c r="C612" s="394"/>
      <c r="D612" s="394"/>
      <c r="E612" s="395"/>
      <c r="F612" s="397"/>
      <c r="G612" s="397"/>
      <c r="H612" s="399"/>
    </row>
    <row r="613" spans="2:8" ht="12">
      <c r="B613" s="108"/>
      <c r="C613" s="394" t="s">
        <v>1281</v>
      </c>
      <c r="D613" s="394"/>
      <c r="E613" s="395"/>
      <c r="F613" s="397"/>
      <c r="G613" s="397"/>
      <c r="H613" s="261"/>
    </row>
    <row r="614" spans="2:8" ht="12">
      <c r="B614" s="108"/>
      <c r="C614" s="394"/>
      <c r="D614" s="394"/>
      <c r="E614" s="395"/>
      <c r="F614" s="397"/>
      <c r="G614" s="397"/>
      <c r="H614" s="261"/>
    </row>
    <row r="615" spans="2:8" ht="12">
      <c r="B615" s="108"/>
      <c r="C615" s="394" t="s">
        <v>1282</v>
      </c>
      <c r="D615" s="394"/>
      <c r="E615" s="395"/>
      <c r="F615" s="397"/>
      <c r="G615" s="397"/>
      <c r="H615" s="261"/>
    </row>
    <row r="616" spans="2:7" ht="12">
      <c r="B616" s="108"/>
      <c r="C616" s="400" t="s">
        <v>1283</v>
      </c>
      <c r="D616" s="394"/>
      <c r="E616" s="395"/>
      <c r="F616" s="397"/>
      <c r="G616" s="397"/>
    </row>
  </sheetData>
  <sheetProtection selectLockedCells="1" selectUnlockedCells="1"/>
  <printOptions/>
  <pageMargins left="0.5905511811023623" right="0.2755905511811024" top="1.299212598425197" bottom="0.7480314960629921" header="0.7874015748031497" footer="0.5118110236220472"/>
  <pageSetup horizontalDpi="300" verticalDpi="300" orientation="landscape" paperSize="9" r:id="rId1"/>
  <headerFooter alignWithMargins="0">
    <oddHeader>&amp;L&amp;"Arial,Obyčejné"&amp;8Změna stavby před dokončením PPP a SPC Vysočina-Rekonstrukce budovy pro pracoviště Havlíčkův Brod, U panských č.p.1452&amp;R&amp;"Arial,Obyčejné"&amp;8Soupis prací psycho+ archiv</oddHeader>
    <oddFooter>&amp;C&amp;"Arial,obyčejné"&amp;8Stránka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14" sqref="I14:J14"/>
    </sheetView>
  </sheetViews>
  <sheetFormatPr defaultColWidth="8.875" defaultRowHeight="12.75"/>
  <cols>
    <col min="1" max="16384" width="8.875" style="483" customWidth="1"/>
  </cols>
  <sheetData>
    <row r="1" spans="1:10" ht="22.5">
      <c r="A1" s="707" t="s">
        <v>1412</v>
      </c>
      <c r="B1" s="707"/>
      <c r="C1" s="707"/>
      <c r="D1" s="707"/>
      <c r="E1" s="707"/>
      <c r="F1" s="707"/>
      <c r="G1" s="707"/>
      <c r="H1" s="707"/>
      <c r="I1" s="707"/>
      <c r="J1" s="707"/>
    </row>
    <row r="2" spans="1:10" ht="15">
      <c r="A2" s="705" t="s">
        <v>1413</v>
      </c>
      <c r="B2" s="705"/>
      <c r="C2" s="705"/>
      <c r="D2" s="705"/>
      <c r="E2" s="705"/>
      <c r="F2" s="705"/>
      <c r="G2" s="705"/>
      <c r="H2" s="705"/>
      <c r="I2" s="705"/>
      <c r="J2" s="705"/>
    </row>
    <row r="3" spans="1:10" ht="15">
      <c r="A3" s="706" t="s">
        <v>1414</v>
      </c>
      <c r="B3" s="706"/>
      <c r="C3" s="701"/>
      <c r="D3" s="701"/>
      <c r="E3" s="701"/>
      <c r="F3" s="706" t="s">
        <v>1415</v>
      </c>
      <c r="G3" s="706"/>
      <c r="H3" s="701"/>
      <c r="I3" s="701"/>
      <c r="J3" s="701"/>
    </row>
    <row r="4" spans="1:10" ht="15">
      <c r="A4" s="706" t="s">
        <v>0</v>
      </c>
      <c r="B4" s="706"/>
      <c r="C4" s="701"/>
      <c r="D4" s="701"/>
      <c r="E4" s="701"/>
      <c r="F4" s="706" t="s">
        <v>1416</v>
      </c>
      <c r="G4" s="706"/>
      <c r="H4" s="701"/>
      <c r="I4" s="701"/>
      <c r="J4" s="701"/>
    </row>
    <row r="5" spans="1:10" ht="15">
      <c r="A5" s="701"/>
      <c r="B5" s="701"/>
      <c r="C5" s="701"/>
      <c r="D5" s="701"/>
      <c r="E5" s="701"/>
      <c r="F5" s="706" t="s">
        <v>1417</v>
      </c>
      <c r="G5" s="706"/>
      <c r="H5" s="701"/>
      <c r="I5" s="701"/>
      <c r="J5" s="701"/>
    </row>
    <row r="6" spans="1:10" ht="15">
      <c r="A6" s="705"/>
      <c r="B6" s="705"/>
      <c r="C6" s="705"/>
      <c r="D6" s="705"/>
      <c r="E6" s="705"/>
      <c r="F6" s="705"/>
      <c r="G6" s="705"/>
      <c r="H6" s="705"/>
      <c r="I6" s="705"/>
      <c r="J6" s="705"/>
    </row>
    <row r="7" spans="1:10" ht="15">
      <c r="A7" s="706" t="s">
        <v>1418</v>
      </c>
      <c r="B7" s="706"/>
      <c r="C7" s="701"/>
      <c r="D7" s="701"/>
      <c r="E7" s="701"/>
      <c r="F7" s="701"/>
      <c r="G7" s="701"/>
      <c r="H7" s="701"/>
      <c r="I7" s="701"/>
      <c r="J7" s="701"/>
    </row>
    <row r="8" spans="1:10" ht="15">
      <c r="A8" s="706" t="s">
        <v>1419</v>
      </c>
      <c r="B8" s="706"/>
      <c r="C8" s="701"/>
      <c r="D8" s="701"/>
      <c r="E8" s="701"/>
      <c r="F8" s="701"/>
      <c r="G8" s="701"/>
      <c r="H8" s="701"/>
      <c r="I8" s="701"/>
      <c r="J8" s="701"/>
    </row>
    <row r="9" spans="1:10" ht="15">
      <c r="A9" s="706" t="s">
        <v>1420</v>
      </c>
      <c r="B9" s="706"/>
      <c r="C9" s="701"/>
      <c r="D9" s="701"/>
      <c r="E9" s="701"/>
      <c r="F9" s="701"/>
      <c r="G9" s="701"/>
      <c r="H9" s="701"/>
      <c r="I9" s="701"/>
      <c r="J9" s="701"/>
    </row>
    <row r="10" spans="1:10" ht="15">
      <c r="A10" s="705"/>
      <c r="B10" s="705"/>
      <c r="C10" s="705"/>
      <c r="D10" s="705"/>
      <c r="E10" s="705"/>
      <c r="F10" s="705"/>
      <c r="G10" s="705"/>
      <c r="H10" s="705"/>
      <c r="I10" s="705"/>
      <c r="J10" s="705"/>
    </row>
    <row r="11" spans="1:10" ht="15">
      <c r="A11" s="701" t="s">
        <v>1421</v>
      </c>
      <c r="B11" s="701"/>
      <c r="C11" s="701"/>
      <c r="D11" s="701"/>
      <c r="E11" s="701"/>
      <c r="F11" s="701" t="s">
        <v>1422</v>
      </c>
      <c r="G11" s="701"/>
      <c r="H11" s="701"/>
      <c r="I11" s="701"/>
      <c r="J11" s="701"/>
    </row>
    <row r="12" spans="1:10" ht="15">
      <c r="A12" s="701" t="s">
        <v>1423</v>
      </c>
      <c r="B12" s="701"/>
      <c r="C12" s="701"/>
      <c r="D12" s="703">
        <f>'Položky PZTS'!E4+'Položky EVS'!E4</f>
        <v>0</v>
      </c>
      <c r="E12" s="703"/>
      <c r="F12" s="701" t="s">
        <v>1424</v>
      </c>
      <c r="G12" s="701"/>
      <c r="H12" s="701"/>
      <c r="I12" s="703">
        <v>0</v>
      </c>
      <c r="J12" s="703"/>
    </row>
    <row r="13" spans="1:10" ht="15">
      <c r="A13" s="701" t="s">
        <v>1425</v>
      </c>
      <c r="B13" s="701"/>
      <c r="C13" s="701"/>
      <c r="D13" s="703">
        <f>'Položky PZTS'!G4+'Položky EVS'!G4</f>
        <v>0</v>
      </c>
      <c r="E13" s="703"/>
      <c r="F13" s="701" t="s">
        <v>1426</v>
      </c>
      <c r="G13" s="701"/>
      <c r="H13" s="701"/>
      <c r="I13" s="703">
        <v>0</v>
      </c>
      <c r="J13" s="703"/>
    </row>
    <row r="14" spans="1:10" ht="15">
      <c r="A14" s="699" t="s">
        <v>1374</v>
      </c>
      <c r="B14" s="699"/>
      <c r="C14" s="699"/>
      <c r="D14" s="704">
        <f>SUM(D12:D13)</f>
        <v>0</v>
      </c>
      <c r="E14" s="704"/>
      <c r="F14" s="699" t="s">
        <v>1374</v>
      </c>
      <c r="G14" s="699"/>
      <c r="H14" s="699"/>
      <c r="I14" s="704">
        <f>SUM(I12:J13)</f>
        <v>0</v>
      </c>
      <c r="J14" s="704"/>
    </row>
    <row r="15" spans="1:10" ht="15">
      <c r="A15" s="429"/>
      <c r="B15" s="429"/>
      <c r="C15" s="429"/>
      <c r="D15" s="429"/>
      <c r="E15" s="429"/>
      <c r="F15" s="429"/>
      <c r="G15" s="429"/>
      <c r="H15" s="429"/>
      <c r="I15" s="429"/>
      <c r="J15" s="429"/>
    </row>
    <row r="16" spans="1:10" ht="15">
      <c r="A16" s="429"/>
      <c r="B16" s="429"/>
      <c r="C16" s="429"/>
      <c r="D16" s="429"/>
      <c r="E16" s="429"/>
      <c r="F16" s="429"/>
      <c r="G16" s="429"/>
      <c r="H16" s="429"/>
      <c r="I16" s="429"/>
      <c r="J16" s="429"/>
    </row>
    <row r="17" spans="1:10" ht="15">
      <c r="A17" s="429"/>
      <c r="B17" s="429"/>
      <c r="C17" s="429"/>
      <c r="D17" s="429"/>
      <c r="E17" s="429"/>
      <c r="F17" s="429"/>
      <c r="G17" s="429"/>
      <c r="H17" s="429"/>
      <c r="I17" s="429"/>
      <c r="J17" s="429"/>
    </row>
    <row r="18" spans="1:10" ht="15">
      <c r="A18" s="701" t="s">
        <v>10</v>
      </c>
      <c r="B18" s="701"/>
      <c r="C18" s="701"/>
      <c r="D18" s="701"/>
      <c r="E18" s="701" t="s">
        <v>1427</v>
      </c>
      <c r="F18" s="701"/>
      <c r="G18" s="701"/>
      <c r="H18" s="701" t="s">
        <v>1428</v>
      </c>
      <c r="I18" s="701"/>
      <c r="J18" s="701"/>
    </row>
    <row r="19" spans="1:10" ht="15">
      <c r="A19" s="701"/>
      <c r="B19" s="701"/>
      <c r="C19" s="701"/>
      <c r="D19" s="701"/>
      <c r="E19" s="484" t="s">
        <v>1429</v>
      </c>
      <c r="F19" s="701"/>
      <c r="G19" s="701"/>
      <c r="H19" s="484" t="s">
        <v>1429</v>
      </c>
      <c r="I19" s="701"/>
      <c r="J19" s="701"/>
    </row>
    <row r="20" spans="1:10" ht="15">
      <c r="A20" s="701" t="s">
        <v>1430</v>
      </c>
      <c r="B20" s="701"/>
      <c r="C20" s="701"/>
      <c r="D20" s="701"/>
      <c r="E20" s="484" t="s">
        <v>1430</v>
      </c>
      <c r="F20" s="701"/>
      <c r="G20" s="701"/>
      <c r="H20" s="484" t="s">
        <v>1430</v>
      </c>
      <c r="I20" s="701"/>
      <c r="J20" s="701"/>
    </row>
    <row r="21" spans="1:10" ht="15">
      <c r="A21" s="701"/>
      <c r="B21" s="701"/>
      <c r="C21" s="701"/>
      <c r="D21" s="701"/>
      <c r="E21" s="484" t="s">
        <v>1431</v>
      </c>
      <c r="F21" s="701"/>
      <c r="G21" s="701"/>
      <c r="H21" s="484" t="s">
        <v>1432</v>
      </c>
      <c r="I21" s="701"/>
      <c r="J21" s="701"/>
    </row>
    <row r="22" spans="1:10" ht="15">
      <c r="A22" s="701"/>
      <c r="B22" s="701"/>
      <c r="C22" s="701"/>
      <c r="D22" s="701"/>
      <c r="E22" s="701"/>
      <c r="F22" s="701"/>
      <c r="G22" s="701"/>
      <c r="H22" s="701"/>
      <c r="I22" s="701"/>
      <c r="J22" s="701"/>
    </row>
    <row r="23" spans="1:10" ht="15">
      <c r="A23" s="701"/>
      <c r="B23" s="701"/>
      <c r="C23" s="701"/>
      <c r="D23" s="701"/>
      <c r="E23" s="701"/>
      <c r="F23" s="701"/>
      <c r="G23" s="701"/>
      <c r="H23" s="701"/>
      <c r="I23" s="701"/>
      <c r="J23" s="701"/>
    </row>
    <row r="24" spans="1:10" ht="15">
      <c r="A24" s="701" t="s">
        <v>1433</v>
      </c>
      <c r="B24" s="701"/>
      <c r="C24" s="483">
        <v>0</v>
      </c>
      <c r="D24" s="483" t="s">
        <v>1434</v>
      </c>
      <c r="E24" s="701"/>
      <c r="F24" s="701"/>
      <c r="G24" s="429"/>
      <c r="H24" s="429"/>
      <c r="I24" s="429"/>
      <c r="J24" s="429"/>
    </row>
    <row r="25" spans="1:10" ht="15">
      <c r="A25" s="701" t="s">
        <v>1433</v>
      </c>
      <c r="B25" s="701"/>
      <c r="C25" s="483">
        <v>15</v>
      </c>
      <c r="D25" s="483" t="s">
        <v>1434</v>
      </c>
      <c r="E25" s="701"/>
      <c r="F25" s="701"/>
      <c r="G25" s="429"/>
      <c r="H25" s="429"/>
      <c r="I25" s="429"/>
      <c r="J25" s="429"/>
    </row>
    <row r="26" spans="1:10" ht="15">
      <c r="A26" s="701" t="s">
        <v>1435</v>
      </c>
      <c r="B26" s="701"/>
      <c r="C26" s="483">
        <v>15</v>
      </c>
      <c r="D26" s="483" t="s">
        <v>1434</v>
      </c>
      <c r="E26" s="701"/>
      <c r="F26" s="701"/>
      <c r="G26" s="429"/>
      <c r="H26" s="429"/>
      <c r="I26" s="429"/>
      <c r="J26" s="429"/>
    </row>
    <row r="27" spans="1:10" ht="15">
      <c r="A27" s="701" t="s">
        <v>1433</v>
      </c>
      <c r="B27" s="701"/>
      <c r="C27" s="483">
        <v>21</v>
      </c>
      <c r="D27" s="483" t="s">
        <v>1434</v>
      </c>
      <c r="E27" s="702">
        <f>D14+I14</f>
        <v>0</v>
      </c>
      <c r="F27" s="702"/>
      <c r="G27" s="429"/>
      <c r="H27" s="429"/>
      <c r="I27" s="429"/>
      <c r="J27" s="429"/>
    </row>
    <row r="28" spans="1:10" ht="15">
      <c r="A28" s="701" t="s">
        <v>1435</v>
      </c>
      <c r="B28" s="701"/>
      <c r="C28" s="483">
        <v>21</v>
      </c>
      <c r="D28" s="483" t="s">
        <v>1434</v>
      </c>
      <c r="E28" s="702">
        <f>E27*0.21</f>
        <v>0</v>
      </c>
      <c r="F28" s="702"/>
      <c r="G28" s="429"/>
      <c r="H28" s="429"/>
      <c r="I28" s="429"/>
      <c r="J28" s="429"/>
    </row>
    <row r="29" spans="1:10" ht="15">
      <c r="A29" s="699" t="s">
        <v>1436</v>
      </c>
      <c r="B29" s="699"/>
      <c r="C29" s="699"/>
      <c r="D29" s="699"/>
      <c r="E29" s="700">
        <f>E27+E28</f>
        <v>0</v>
      </c>
      <c r="F29" s="700"/>
      <c r="G29" s="429"/>
      <c r="H29" s="429"/>
      <c r="I29" s="429"/>
      <c r="J29" s="429"/>
    </row>
    <row r="30" spans="1:10" ht="15">
      <c r="A30" s="701"/>
      <c r="B30" s="701"/>
      <c r="C30" s="701"/>
      <c r="D30" s="701"/>
      <c r="E30" s="701"/>
      <c r="F30" s="701"/>
      <c r="G30" s="701"/>
      <c r="H30" s="701"/>
      <c r="I30" s="701"/>
      <c r="J30" s="701"/>
    </row>
    <row r="31" ht="15">
      <c r="A31" s="483" t="s">
        <v>1437</v>
      </c>
    </row>
  </sheetData>
  <sheetProtection/>
  <mergeCells count="62">
    <mergeCell ref="A1:J1"/>
    <mergeCell ref="A2:J2"/>
    <mergeCell ref="A3:B3"/>
    <mergeCell ref="C3:E3"/>
    <mergeCell ref="F3:G3"/>
    <mergeCell ref="H3:J3"/>
    <mergeCell ref="A4:B4"/>
    <mergeCell ref="C4:E4"/>
    <mergeCell ref="F4:G4"/>
    <mergeCell ref="H4:J4"/>
    <mergeCell ref="A5:E5"/>
    <mergeCell ref="F5:G5"/>
    <mergeCell ref="H5:J5"/>
    <mergeCell ref="A6:J6"/>
    <mergeCell ref="A7:B7"/>
    <mergeCell ref="C7:J7"/>
    <mergeCell ref="A8:B8"/>
    <mergeCell ref="C8:J8"/>
    <mergeCell ref="A9:B9"/>
    <mergeCell ref="C9:J9"/>
    <mergeCell ref="A10:J10"/>
    <mergeCell ref="A11:E11"/>
    <mergeCell ref="F11:J11"/>
    <mergeCell ref="A12:C12"/>
    <mergeCell ref="D12:E12"/>
    <mergeCell ref="F12:H12"/>
    <mergeCell ref="I12:J12"/>
    <mergeCell ref="A13:C13"/>
    <mergeCell ref="D13:E13"/>
    <mergeCell ref="F13:H13"/>
    <mergeCell ref="I13:J13"/>
    <mergeCell ref="A14:C14"/>
    <mergeCell ref="D14:E14"/>
    <mergeCell ref="F14:H14"/>
    <mergeCell ref="I14:J14"/>
    <mergeCell ref="A18:D18"/>
    <mergeCell ref="E18:G18"/>
    <mergeCell ref="H18:J18"/>
    <mergeCell ref="A19:D19"/>
    <mergeCell ref="F19:G19"/>
    <mergeCell ref="I19:J19"/>
    <mergeCell ref="A20:D20"/>
    <mergeCell ref="F20:G20"/>
    <mergeCell ref="I20:J20"/>
    <mergeCell ref="A21:D21"/>
    <mergeCell ref="F21:G21"/>
    <mergeCell ref="I21:J21"/>
    <mergeCell ref="A22:J22"/>
    <mergeCell ref="A23:J23"/>
    <mergeCell ref="A24:B24"/>
    <mergeCell ref="E24:F24"/>
    <mergeCell ref="A25:B25"/>
    <mergeCell ref="E25:F25"/>
    <mergeCell ref="A29:D29"/>
    <mergeCell ref="E29:F29"/>
    <mergeCell ref="A30:J30"/>
    <mergeCell ref="A26:B26"/>
    <mergeCell ref="E26:F26"/>
    <mergeCell ref="A27:B27"/>
    <mergeCell ref="E27:F27"/>
    <mergeCell ref="A28:B28"/>
    <mergeCell ref="E28:F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&amp;C&amp;A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6">
      <selection activeCell="F29" sqref="F29"/>
    </sheetView>
  </sheetViews>
  <sheetFormatPr defaultColWidth="8.75390625" defaultRowHeight="12.75"/>
  <cols>
    <col min="1" max="1" width="66.00390625" style="429" customWidth="1"/>
    <col min="2" max="2" width="5.375" style="429" customWidth="1"/>
    <col min="3" max="3" width="4.125" style="429" customWidth="1"/>
    <col min="4" max="7" width="15.375" style="429" customWidth="1"/>
    <col min="8" max="8" width="21.625" style="429" customWidth="1"/>
    <col min="9" max="16384" width="8.75390625" style="429" customWidth="1"/>
  </cols>
  <sheetData>
    <row r="1" spans="1:8" ht="15" customHeight="1" thickBot="1">
      <c r="A1" s="708" t="s">
        <v>1388</v>
      </c>
      <c r="B1" s="708"/>
      <c r="C1" s="708"/>
      <c r="D1" s="708"/>
      <c r="E1" s="708"/>
      <c r="F1" s="708"/>
      <c r="G1" s="708"/>
      <c r="H1" s="708"/>
    </row>
    <row r="2" spans="1:8" ht="15" customHeight="1" thickBot="1">
      <c r="A2" s="709" t="s">
        <v>1366</v>
      </c>
      <c r="B2" s="710" t="s">
        <v>76</v>
      </c>
      <c r="C2" s="710"/>
      <c r="D2" s="711" t="s">
        <v>1367</v>
      </c>
      <c r="E2" s="711"/>
      <c r="F2" s="711" t="s">
        <v>1368</v>
      </c>
      <c r="G2" s="711"/>
      <c r="H2" s="430" t="s">
        <v>1369</v>
      </c>
    </row>
    <row r="3" spans="1:8" ht="30.75" thickBot="1">
      <c r="A3" s="709"/>
      <c r="B3" s="431" t="s">
        <v>1370</v>
      </c>
      <c r="C3" s="432" t="s">
        <v>1371</v>
      </c>
      <c r="D3" s="433" t="s">
        <v>1372</v>
      </c>
      <c r="E3" s="434" t="s">
        <v>1369</v>
      </c>
      <c r="F3" s="433" t="s">
        <v>1372</v>
      </c>
      <c r="G3" s="434" t="s">
        <v>1369</v>
      </c>
      <c r="H3" s="435" t="s">
        <v>1373</v>
      </c>
    </row>
    <row r="4" spans="1:8" s="475" customFormat="1" ht="21" thickBot="1">
      <c r="A4" s="469" t="s">
        <v>1374</v>
      </c>
      <c r="B4" s="470"/>
      <c r="C4" s="471"/>
      <c r="D4" s="472"/>
      <c r="E4" s="473">
        <f>SUM(E5:E28)</f>
        <v>0</v>
      </c>
      <c r="F4" s="472"/>
      <c r="G4" s="473">
        <f>SUM(G5:G28)</f>
        <v>0</v>
      </c>
      <c r="H4" s="474">
        <f>SUM(E4+G4)</f>
        <v>0</v>
      </c>
    </row>
    <row r="5" spans="1:8" ht="15">
      <c r="A5" s="442" t="s">
        <v>1389</v>
      </c>
      <c r="B5" s="476">
        <v>1</v>
      </c>
      <c r="C5" s="477" t="s">
        <v>104</v>
      </c>
      <c r="D5" s="478">
        <v>0</v>
      </c>
      <c r="E5" s="478">
        <f aca="true" t="shared" si="0" ref="E5:E28">SUM(B5*D5)</f>
        <v>0</v>
      </c>
      <c r="F5" s="478">
        <v>0</v>
      </c>
      <c r="G5" s="478">
        <f aca="true" t="shared" si="1" ref="G5:G28">SUM(B5*F5)</f>
        <v>0</v>
      </c>
      <c r="H5" s="468">
        <f aca="true" t="shared" si="2" ref="H5:H28">SUM(E5+G5)</f>
        <v>0</v>
      </c>
    </row>
    <row r="6" spans="1:8" ht="15">
      <c r="A6" s="479" t="s">
        <v>1390</v>
      </c>
      <c r="B6" s="480">
        <v>10</v>
      </c>
      <c r="C6" s="481" t="s">
        <v>593</v>
      </c>
      <c r="D6" s="453"/>
      <c r="E6" s="453">
        <f t="shared" si="0"/>
        <v>0</v>
      </c>
      <c r="F6" s="453">
        <v>0</v>
      </c>
      <c r="G6" s="453">
        <f t="shared" si="1"/>
        <v>0</v>
      </c>
      <c r="H6" s="454">
        <f t="shared" si="2"/>
        <v>0</v>
      </c>
    </row>
    <row r="7" spans="1:8" ht="15">
      <c r="A7" s="479" t="s">
        <v>1391</v>
      </c>
      <c r="B7" s="480">
        <v>1</v>
      </c>
      <c r="C7" s="481" t="s">
        <v>104</v>
      </c>
      <c r="D7" s="453">
        <v>0</v>
      </c>
      <c r="E7" s="453">
        <f t="shared" si="0"/>
        <v>0</v>
      </c>
      <c r="F7" s="453">
        <v>0</v>
      </c>
      <c r="G7" s="453">
        <f t="shared" si="1"/>
        <v>0</v>
      </c>
      <c r="H7" s="454">
        <f t="shared" si="2"/>
        <v>0</v>
      </c>
    </row>
    <row r="8" spans="1:8" ht="15">
      <c r="A8" s="479" t="s">
        <v>1390</v>
      </c>
      <c r="B8" s="480">
        <v>5</v>
      </c>
      <c r="C8" s="481" t="s">
        <v>593</v>
      </c>
      <c r="D8" s="453"/>
      <c r="E8" s="453">
        <f t="shared" si="0"/>
        <v>0</v>
      </c>
      <c r="F8" s="453">
        <v>0</v>
      </c>
      <c r="G8" s="453">
        <f t="shared" si="1"/>
        <v>0</v>
      </c>
      <c r="H8" s="454">
        <f t="shared" si="2"/>
        <v>0</v>
      </c>
    </row>
    <row r="9" spans="1:8" ht="15">
      <c r="A9" s="456" t="s">
        <v>1392</v>
      </c>
      <c r="B9" s="457">
        <v>1</v>
      </c>
      <c r="C9" s="458" t="s">
        <v>104</v>
      </c>
      <c r="D9" s="453">
        <v>0</v>
      </c>
      <c r="E9" s="453">
        <f t="shared" si="0"/>
        <v>0</v>
      </c>
      <c r="F9" s="453">
        <v>0</v>
      </c>
      <c r="G9" s="453">
        <f t="shared" si="1"/>
        <v>0</v>
      </c>
      <c r="H9" s="454">
        <f t="shared" si="2"/>
        <v>0</v>
      </c>
    </row>
    <row r="10" spans="1:8" ht="15">
      <c r="A10" s="456" t="s">
        <v>1393</v>
      </c>
      <c r="B10" s="457">
        <v>1</v>
      </c>
      <c r="C10" s="458" t="s">
        <v>104</v>
      </c>
      <c r="D10" s="453">
        <v>0</v>
      </c>
      <c r="E10" s="453">
        <f t="shared" si="0"/>
        <v>0</v>
      </c>
      <c r="F10" s="453">
        <v>0</v>
      </c>
      <c r="G10" s="453">
        <f t="shared" si="1"/>
        <v>0</v>
      </c>
      <c r="H10" s="454">
        <f t="shared" si="2"/>
        <v>0</v>
      </c>
    </row>
    <row r="11" spans="1:8" ht="15">
      <c r="A11" s="456" t="s">
        <v>1394</v>
      </c>
      <c r="B11" s="457">
        <v>20</v>
      </c>
      <c r="C11" s="458" t="s">
        <v>104</v>
      </c>
      <c r="D11" s="453">
        <v>0</v>
      </c>
      <c r="E11" s="453">
        <f t="shared" si="0"/>
        <v>0</v>
      </c>
      <c r="F11" s="453">
        <v>0</v>
      </c>
      <c r="G11" s="453">
        <f t="shared" si="1"/>
        <v>0</v>
      </c>
      <c r="H11" s="454">
        <f t="shared" si="2"/>
        <v>0</v>
      </c>
    </row>
    <row r="12" spans="1:8" ht="15">
      <c r="A12" s="456" t="s">
        <v>1395</v>
      </c>
      <c r="B12" s="457">
        <v>16</v>
      </c>
      <c r="C12" s="458" t="s">
        <v>104</v>
      </c>
      <c r="D12" s="453">
        <v>0</v>
      </c>
      <c r="E12" s="453">
        <f t="shared" si="0"/>
        <v>0</v>
      </c>
      <c r="F12" s="453">
        <v>0</v>
      </c>
      <c r="G12" s="453">
        <f t="shared" si="1"/>
        <v>0</v>
      </c>
      <c r="H12" s="454">
        <f t="shared" si="2"/>
        <v>0</v>
      </c>
    </row>
    <row r="13" spans="1:8" ht="15">
      <c r="A13" s="456" t="s">
        <v>1396</v>
      </c>
      <c r="B13" s="457">
        <v>4</v>
      </c>
      <c r="C13" s="458" t="s">
        <v>104</v>
      </c>
      <c r="D13" s="453">
        <v>0</v>
      </c>
      <c r="E13" s="453">
        <f t="shared" si="0"/>
        <v>0</v>
      </c>
      <c r="F13" s="453">
        <v>0</v>
      </c>
      <c r="G13" s="453">
        <f t="shared" si="1"/>
        <v>0</v>
      </c>
      <c r="H13" s="454">
        <f t="shared" si="2"/>
        <v>0</v>
      </c>
    </row>
    <row r="14" spans="1:8" ht="15">
      <c r="A14" s="456" t="s">
        <v>1397</v>
      </c>
      <c r="B14" s="457">
        <v>20</v>
      </c>
      <c r="C14" s="458" t="s">
        <v>104</v>
      </c>
      <c r="D14" s="453">
        <v>0</v>
      </c>
      <c r="E14" s="453">
        <f t="shared" si="0"/>
        <v>0</v>
      </c>
      <c r="F14" s="453">
        <v>0</v>
      </c>
      <c r="G14" s="453">
        <f t="shared" si="1"/>
        <v>0</v>
      </c>
      <c r="H14" s="454">
        <f t="shared" si="2"/>
        <v>0</v>
      </c>
    </row>
    <row r="15" spans="1:8" ht="15">
      <c r="A15" s="456" t="s">
        <v>1398</v>
      </c>
      <c r="B15" s="457">
        <v>19</v>
      </c>
      <c r="C15" s="458" t="s">
        <v>104</v>
      </c>
      <c r="D15" s="453">
        <v>0</v>
      </c>
      <c r="E15" s="453">
        <f t="shared" si="0"/>
        <v>0</v>
      </c>
      <c r="F15" s="453">
        <v>0</v>
      </c>
      <c r="G15" s="453">
        <f t="shared" si="1"/>
        <v>0</v>
      </c>
      <c r="H15" s="454">
        <f t="shared" si="2"/>
        <v>0</v>
      </c>
    </row>
    <row r="16" spans="1:8" ht="15">
      <c r="A16" s="456" t="s">
        <v>1399</v>
      </c>
      <c r="B16" s="457">
        <v>1</v>
      </c>
      <c r="C16" s="458" t="s">
        <v>104</v>
      </c>
      <c r="D16" s="453">
        <v>0</v>
      </c>
      <c r="E16" s="453">
        <f t="shared" si="0"/>
        <v>0</v>
      </c>
      <c r="F16" s="453">
        <v>0</v>
      </c>
      <c r="G16" s="453">
        <f t="shared" si="1"/>
        <v>0</v>
      </c>
      <c r="H16" s="454">
        <f t="shared" si="2"/>
        <v>0</v>
      </c>
    </row>
    <row r="17" spans="1:8" ht="15">
      <c r="A17" s="456" t="s">
        <v>1400</v>
      </c>
      <c r="B17" s="457">
        <v>20</v>
      </c>
      <c r="C17" s="458" t="s">
        <v>104</v>
      </c>
      <c r="D17" s="453">
        <v>0</v>
      </c>
      <c r="E17" s="453">
        <f t="shared" si="0"/>
        <v>0</v>
      </c>
      <c r="F17" s="453">
        <v>0</v>
      </c>
      <c r="G17" s="453">
        <f t="shared" si="1"/>
        <v>0</v>
      </c>
      <c r="H17" s="454">
        <f t="shared" si="2"/>
        <v>0</v>
      </c>
    </row>
    <row r="18" spans="1:8" ht="15">
      <c r="A18" s="456" t="s">
        <v>1401</v>
      </c>
      <c r="B18" s="457">
        <v>4</v>
      </c>
      <c r="C18" s="458" t="s">
        <v>104</v>
      </c>
      <c r="D18" s="453">
        <v>0</v>
      </c>
      <c r="E18" s="453">
        <f t="shared" si="0"/>
        <v>0</v>
      </c>
      <c r="F18" s="453">
        <v>0</v>
      </c>
      <c r="G18" s="453">
        <f t="shared" si="1"/>
        <v>0</v>
      </c>
      <c r="H18" s="454">
        <f t="shared" si="2"/>
        <v>0</v>
      </c>
    </row>
    <row r="19" spans="1:8" ht="15">
      <c r="A19" s="456" t="s">
        <v>1402</v>
      </c>
      <c r="B19" s="457">
        <v>12</v>
      </c>
      <c r="C19" s="458" t="s">
        <v>104</v>
      </c>
      <c r="D19" s="453">
        <v>0</v>
      </c>
      <c r="E19" s="453">
        <f t="shared" si="0"/>
        <v>0</v>
      </c>
      <c r="F19" s="453">
        <v>0</v>
      </c>
      <c r="G19" s="453">
        <f t="shared" si="1"/>
        <v>0</v>
      </c>
      <c r="H19" s="454">
        <f t="shared" si="2"/>
        <v>0</v>
      </c>
    </row>
    <row r="20" spans="1:8" ht="15">
      <c r="A20" s="456" t="s">
        <v>1403</v>
      </c>
      <c r="B20" s="457">
        <v>3</v>
      </c>
      <c r="C20" s="458" t="s">
        <v>104</v>
      </c>
      <c r="D20" s="453">
        <v>0</v>
      </c>
      <c r="E20" s="453">
        <f t="shared" si="0"/>
        <v>0</v>
      </c>
      <c r="F20" s="453">
        <v>0</v>
      </c>
      <c r="G20" s="453">
        <f t="shared" si="1"/>
        <v>0</v>
      </c>
      <c r="H20" s="454">
        <f t="shared" si="2"/>
        <v>0</v>
      </c>
    </row>
    <row r="21" spans="1:8" ht="15">
      <c r="A21" s="456" t="s">
        <v>1404</v>
      </c>
      <c r="B21" s="457">
        <v>3</v>
      </c>
      <c r="C21" s="458" t="s">
        <v>104</v>
      </c>
      <c r="D21" s="453">
        <v>0</v>
      </c>
      <c r="E21" s="453">
        <f t="shared" si="0"/>
        <v>0</v>
      </c>
      <c r="F21" s="453">
        <v>0</v>
      </c>
      <c r="G21" s="453">
        <f t="shared" si="1"/>
        <v>0</v>
      </c>
      <c r="H21" s="454">
        <f t="shared" si="2"/>
        <v>0</v>
      </c>
    </row>
    <row r="22" spans="1:8" ht="15">
      <c r="A22" s="456" t="s">
        <v>1405</v>
      </c>
      <c r="B22" s="457">
        <v>1</v>
      </c>
      <c r="C22" s="458" t="s">
        <v>104</v>
      </c>
      <c r="D22" s="453">
        <v>0</v>
      </c>
      <c r="E22" s="453">
        <f t="shared" si="0"/>
        <v>0</v>
      </c>
      <c r="F22" s="453">
        <v>0</v>
      </c>
      <c r="G22" s="453">
        <f t="shared" si="1"/>
        <v>0</v>
      </c>
      <c r="H22" s="454">
        <f t="shared" si="2"/>
        <v>0</v>
      </c>
    </row>
    <row r="23" spans="1:8" ht="15">
      <c r="A23" s="456" t="s">
        <v>1406</v>
      </c>
      <c r="B23" s="457">
        <v>1</v>
      </c>
      <c r="C23" s="458" t="s">
        <v>104</v>
      </c>
      <c r="D23" s="461">
        <v>0</v>
      </c>
      <c r="E23" s="453">
        <f t="shared" si="0"/>
        <v>0</v>
      </c>
      <c r="F23" s="461">
        <v>0</v>
      </c>
      <c r="G23" s="453">
        <f t="shared" si="1"/>
        <v>0</v>
      </c>
      <c r="H23" s="454">
        <f t="shared" si="2"/>
        <v>0</v>
      </c>
    </row>
    <row r="24" spans="1:8" ht="15">
      <c r="A24" s="456" t="s">
        <v>1407</v>
      </c>
      <c r="B24" s="457">
        <v>530</v>
      </c>
      <c r="C24" s="458" t="s">
        <v>157</v>
      </c>
      <c r="D24" s="461">
        <v>0</v>
      </c>
      <c r="E24" s="453">
        <f t="shared" si="0"/>
        <v>0</v>
      </c>
      <c r="F24" s="461">
        <v>0</v>
      </c>
      <c r="G24" s="453">
        <f t="shared" si="1"/>
        <v>0</v>
      </c>
      <c r="H24" s="454">
        <f t="shared" si="2"/>
        <v>0</v>
      </c>
    </row>
    <row r="25" spans="1:8" ht="15">
      <c r="A25" s="456" t="s">
        <v>1408</v>
      </c>
      <c r="B25" s="457">
        <v>3</v>
      </c>
      <c r="C25" s="458" t="s">
        <v>104</v>
      </c>
      <c r="D25" s="461">
        <v>0</v>
      </c>
      <c r="E25" s="453">
        <f t="shared" si="0"/>
        <v>0</v>
      </c>
      <c r="F25" s="461">
        <v>0</v>
      </c>
      <c r="G25" s="453">
        <f t="shared" si="1"/>
        <v>0</v>
      </c>
      <c r="H25" s="454">
        <f t="shared" si="2"/>
        <v>0</v>
      </c>
    </row>
    <row r="26" spans="1:8" ht="15">
      <c r="A26" s="456" t="s">
        <v>1409</v>
      </c>
      <c r="B26" s="457">
        <v>1</v>
      </c>
      <c r="C26" s="458" t="s">
        <v>104</v>
      </c>
      <c r="D26" s="461">
        <v>0</v>
      </c>
      <c r="E26" s="453">
        <f t="shared" si="0"/>
        <v>0</v>
      </c>
      <c r="F26" s="461">
        <v>0</v>
      </c>
      <c r="G26" s="453">
        <f t="shared" si="1"/>
        <v>0</v>
      </c>
      <c r="H26" s="454">
        <f t="shared" si="2"/>
        <v>0</v>
      </c>
    </row>
    <row r="27" spans="1:8" ht="15">
      <c r="A27" s="456" t="s">
        <v>1410</v>
      </c>
      <c r="B27" s="457">
        <v>10</v>
      </c>
      <c r="C27" s="458" t="s">
        <v>104</v>
      </c>
      <c r="D27" s="461">
        <v>0</v>
      </c>
      <c r="E27" s="453">
        <f t="shared" si="0"/>
        <v>0</v>
      </c>
      <c r="F27" s="461">
        <v>0</v>
      </c>
      <c r="G27" s="453">
        <f t="shared" si="1"/>
        <v>0</v>
      </c>
      <c r="H27" s="454">
        <f t="shared" si="2"/>
        <v>0</v>
      </c>
    </row>
    <row r="28" spans="1:8" ht="15.75" thickBot="1">
      <c r="A28" s="462" t="s">
        <v>1411</v>
      </c>
      <c r="B28" s="482">
        <v>1</v>
      </c>
      <c r="C28" s="482" t="s">
        <v>1386</v>
      </c>
      <c r="D28" s="482">
        <v>0</v>
      </c>
      <c r="E28" s="465">
        <f t="shared" si="0"/>
        <v>0</v>
      </c>
      <c r="F28" s="482">
        <v>0</v>
      </c>
      <c r="G28" s="465">
        <f t="shared" si="1"/>
        <v>0</v>
      </c>
      <c r="H28" s="467">
        <f t="shared" si="2"/>
        <v>0</v>
      </c>
    </row>
  </sheetData>
  <sheetProtection/>
  <mergeCells count="5">
    <mergeCell ref="A1:H1"/>
    <mergeCell ref="A2:A3"/>
    <mergeCell ref="B2:C2"/>
    <mergeCell ref="D2:E2"/>
    <mergeCell ref="F2:G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  <headerFooter>
    <oddHeader>&amp;C&amp;A</oddHead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8" sqref="A18"/>
    </sheetView>
  </sheetViews>
  <sheetFormatPr defaultColWidth="8.75390625" defaultRowHeight="12.75"/>
  <cols>
    <col min="1" max="1" width="66.00390625" style="429" customWidth="1"/>
    <col min="2" max="2" width="5.375" style="429" customWidth="1"/>
    <col min="3" max="3" width="4.125" style="429" customWidth="1"/>
    <col min="4" max="7" width="15.375" style="429" customWidth="1"/>
    <col min="8" max="8" width="21.625" style="429" customWidth="1"/>
    <col min="9" max="16384" width="8.75390625" style="429" customWidth="1"/>
  </cols>
  <sheetData>
    <row r="1" spans="1:8" ht="15" customHeight="1" thickBot="1">
      <c r="A1" s="708" t="s">
        <v>1365</v>
      </c>
      <c r="B1" s="708"/>
      <c r="C1" s="708"/>
      <c r="D1" s="708"/>
      <c r="E1" s="708"/>
      <c r="F1" s="708"/>
      <c r="G1" s="708"/>
      <c r="H1" s="708"/>
    </row>
    <row r="2" spans="1:8" ht="15" customHeight="1" thickBot="1">
      <c r="A2" s="709" t="s">
        <v>1366</v>
      </c>
      <c r="B2" s="710" t="s">
        <v>76</v>
      </c>
      <c r="C2" s="710"/>
      <c r="D2" s="711" t="s">
        <v>1367</v>
      </c>
      <c r="E2" s="711"/>
      <c r="F2" s="711" t="s">
        <v>1368</v>
      </c>
      <c r="G2" s="711"/>
      <c r="H2" s="430" t="s">
        <v>1369</v>
      </c>
    </row>
    <row r="3" spans="1:8" ht="30.75" thickBot="1">
      <c r="A3" s="709"/>
      <c r="B3" s="431" t="s">
        <v>1370</v>
      </c>
      <c r="C3" s="432" t="s">
        <v>1371</v>
      </c>
      <c r="D3" s="433" t="s">
        <v>1372</v>
      </c>
      <c r="E3" s="434" t="s">
        <v>1369</v>
      </c>
      <c r="F3" s="433" t="s">
        <v>1372</v>
      </c>
      <c r="G3" s="434" t="s">
        <v>1369</v>
      </c>
      <c r="H3" s="435" t="s">
        <v>1373</v>
      </c>
    </row>
    <row r="4" spans="1:8" ht="21" thickBot="1">
      <c r="A4" s="436" t="s">
        <v>1374</v>
      </c>
      <c r="B4" s="437"/>
      <c r="C4" s="438"/>
      <c r="D4" s="439"/>
      <c r="E4" s="440">
        <f>SUM(E5:E33)</f>
        <v>0</v>
      </c>
      <c r="F4" s="439"/>
      <c r="G4" s="440">
        <f>SUM(G5:G33)</f>
        <v>0</v>
      </c>
      <c r="H4" s="441">
        <f>SUM(E4+G4)</f>
        <v>0</v>
      </c>
    </row>
    <row r="5" spans="1:8" ht="15">
      <c r="A5" s="442" t="s">
        <v>1375</v>
      </c>
      <c r="B5" s="443">
        <v>850</v>
      </c>
      <c r="C5" s="444" t="s">
        <v>157</v>
      </c>
      <c r="D5" s="445">
        <v>0</v>
      </c>
      <c r="E5" s="446">
        <f aca="true" t="shared" si="0" ref="E5:E22">SUM(B5*D5)</f>
        <v>0</v>
      </c>
      <c r="F5" s="446">
        <v>0</v>
      </c>
      <c r="G5" s="446">
        <f aca="true" t="shared" si="1" ref="G5:G22">SUM(B5*F5)</f>
        <v>0</v>
      </c>
      <c r="H5" s="447">
        <f aca="true" t="shared" si="2" ref="H5:H22">SUM(E5+G5)</f>
        <v>0</v>
      </c>
    </row>
    <row r="6" spans="1:8" ht="15">
      <c r="A6" s="448" t="s">
        <v>1376</v>
      </c>
      <c r="B6" s="449">
        <v>20</v>
      </c>
      <c r="C6" s="450" t="s">
        <v>104</v>
      </c>
      <c r="D6" s="451">
        <v>0</v>
      </c>
      <c r="E6" s="452">
        <f t="shared" si="0"/>
        <v>0</v>
      </c>
      <c r="F6" s="452">
        <v>0</v>
      </c>
      <c r="G6" s="453">
        <f t="shared" si="1"/>
        <v>0</v>
      </c>
      <c r="H6" s="454">
        <f t="shared" si="2"/>
        <v>0</v>
      </c>
    </row>
    <row r="7" spans="1:8" ht="15">
      <c r="A7" s="448" t="s">
        <v>1459</v>
      </c>
      <c r="B7" s="449">
        <v>4</v>
      </c>
      <c r="C7" s="450" t="s">
        <v>104</v>
      </c>
      <c r="D7" s="451">
        <v>0</v>
      </c>
      <c r="E7" s="452">
        <f t="shared" si="0"/>
        <v>0</v>
      </c>
      <c r="F7" s="452">
        <v>0</v>
      </c>
      <c r="G7" s="453">
        <f t="shared" si="1"/>
        <v>0</v>
      </c>
      <c r="H7" s="454">
        <f t="shared" si="2"/>
        <v>0</v>
      </c>
    </row>
    <row r="8" spans="1:8" ht="15">
      <c r="A8" s="448" t="s">
        <v>1460</v>
      </c>
      <c r="B8" s="449">
        <v>4</v>
      </c>
      <c r="C8" s="450" t="s">
        <v>104</v>
      </c>
      <c r="D8" s="451">
        <v>0</v>
      </c>
      <c r="E8" s="452">
        <f t="shared" si="0"/>
        <v>0</v>
      </c>
      <c r="F8" s="452">
        <v>0</v>
      </c>
      <c r="G8" s="453">
        <f t="shared" si="1"/>
        <v>0</v>
      </c>
      <c r="H8" s="454">
        <f t="shared" si="2"/>
        <v>0</v>
      </c>
    </row>
    <row r="9" spans="1:8" ht="15">
      <c r="A9" s="448" t="s">
        <v>1461</v>
      </c>
      <c r="B9" s="449">
        <v>1</v>
      </c>
      <c r="C9" s="450" t="s">
        <v>104</v>
      </c>
      <c r="D9" s="451">
        <v>0</v>
      </c>
      <c r="E9" s="453">
        <f t="shared" si="0"/>
        <v>0</v>
      </c>
      <c r="F9" s="452">
        <v>0</v>
      </c>
      <c r="G9" s="453">
        <f t="shared" si="1"/>
        <v>0</v>
      </c>
      <c r="H9" s="454">
        <f t="shared" si="2"/>
        <v>0</v>
      </c>
    </row>
    <row r="10" spans="1:8" ht="15">
      <c r="A10" s="448" t="s">
        <v>1462</v>
      </c>
      <c r="B10" s="449">
        <v>3</v>
      </c>
      <c r="C10" s="450" t="s">
        <v>104</v>
      </c>
      <c r="D10" s="451">
        <v>0</v>
      </c>
      <c r="E10" s="453">
        <f t="shared" si="0"/>
        <v>0</v>
      </c>
      <c r="F10" s="452">
        <v>0</v>
      </c>
      <c r="G10" s="453">
        <f t="shared" si="1"/>
        <v>0</v>
      </c>
      <c r="H10" s="454">
        <f t="shared" si="2"/>
        <v>0</v>
      </c>
    </row>
    <row r="11" spans="1:8" ht="15">
      <c r="A11" s="448" t="s">
        <v>1463</v>
      </c>
      <c r="B11" s="449">
        <v>1</v>
      </c>
      <c r="C11" s="450" t="s">
        <v>104</v>
      </c>
      <c r="D11" s="451">
        <v>0</v>
      </c>
      <c r="E11" s="453">
        <f t="shared" si="0"/>
        <v>0</v>
      </c>
      <c r="F11" s="452">
        <v>0</v>
      </c>
      <c r="G11" s="453">
        <f t="shared" si="1"/>
        <v>0</v>
      </c>
      <c r="H11" s="454">
        <f t="shared" si="2"/>
        <v>0</v>
      </c>
    </row>
    <row r="12" spans="1:8" ht="15">
      <c r="A12" s="448" t="s">
        <v>1464</v>
      </c>
      <c r="B12" s="449">
        <v>1</v>
      </c>
      <c r="C12" s="450" t="s">
        <v>104</v>
      </c>
      <c r="D12" s="451">
        <v>0</v>
      </c>
      <c r="E12" s="453">
        <f t="shared" si="0"/>
        <v>0</v>
      </c>
      <c r="F12" s="452">
        <v>0</v>
      </c>
      <c r="G12" s="453">
        <f t="shared" si="1"/>
        <v>0</v>
      </c>
      <c r="H12" s="454">
        <f t="shared" si="2"/>
        <v>0</v>
      </c>
    </row>
    <row r="13" spans="1:8" ht="15">
      <c r="A13" s="448" t="s">
        <v>1377</v>
      </c>
      <c r="B13" s="449">
        <v>2</v>
      </c>
      <c r="C13" s="450" t="s">
        <v>104</v>
      </c>
      <c r="D13" s="451">
        <v>0</v>
      </c>
      <c r="E13" s="453">
        <f t="shared" si="0"/>
        <v>0</v>
      </c>
      <c r="F13" s="452">
        <v>0</v>
      </c>
      <c r="G13" s="453">
        <f t="shared" si="1"/>
        <v>0</v>
      </c>
      <c r="H13" s="454">
        <f t="shared" si="2"/>
        <v>0</v>
      </c>
    </row>
    <row r="14" spans="1:8" ht="15">
      <c r="A14" s="448" t="s">
        <v>1378</v>
      </c>
      <c r="B14" s="449">
        <v>2</v>
      </c>
      <c r="C14" s="450" t="s">
        <v>104</v>
      </c>
      <c r="D14" s="451">
        <v>0</v>
      </c>
      <c r="E14" s="453">
        <f t="shared" si="0"/>
        <v>0</v>
      </c>
      <c r="F14" s="455">
        <v>0</v>
      </c>
      <c r="G14" s="453">
        <f t="shared" si="1"/>
        <v>0</v>
      </c>
      <c r="H14" s="454">
        <f t="shared" si="2"/>
        <v>0</v>
      </c>
    </row>
    <row r="15" spans="1:8" ht="15">
      <c r="A15" s="448" t="s">
        <v>1379</v>
      </c>
      <c r="B15" s="449">
        <v>2</v>
      </c>
      <c r="C15" s="450" t="s">
        <v>104</v>
      </c>
      <c r="D15" s="451">
        <v>0</v>
      </c>
      <c r="E15" s="453">
        <f t="shared" si="0"/>
        <v>0</v>
      </c>
      <c r="F15" s="455">
        <v>0</v>
      </c>
      <c r="G15" s="453">
        <f t="shared" si="1"/>
        <v>0</v>
      </c>
      <c r="H15" s="454">
        <f t="shared" si="2"/>
        <v>0</v>
      </c>
    </row>
    <row r="16" spans="1:8" ht="15">
      <c r="A16" s="448" t="s">
        <v>1380</v>
      </c>
      <c r="B16" s="449">
        <v>1</v>
      </c>
      <c r="C16" s="450" t="s">
        <v>104</v>
      </c>
      <c r="D16" s="451">
        <v>0</v>
      </c>
      <c r="E16" s="453">
        <f t="shared" si="0"/>
        <v>0</v>
      </c>
      <c r="F16" s="455">
        <v>0</v>
      </c>
      <c r="G16" s="453">
        <f t="shared" si="1"/>
        <v>0</v>
      </c>
      <c r="H16" s="454">
        <f t="shared" si="2"/>
        <v>0</v>
      </c>
    </row>
    <row r="17" spans="1:8" ht="15">
      <c r="A17" s="448" t="s">
        <v>1381</v>
      </c>
      <c r="B17" s="449">
        <v>2</v>
      </c>
      <c r="C17" s="450" t="s">
        <v>104</v>
      </c>
      <c r="D17" s="451">
        <v>0</v>
      </c>
      <c r="E17" s="453">
        <f t="shared" si="0"/>
        <v>0</v>
      </c>
      <c r="F17" s="455">
        <v>0</v>
      </c>
      <c r="G17" s="453">
        <f t="shared" si="1"/>
        <v>0</v>
      </c>
      <c r="H17" s="454">
        <f t="shared" si="2"/>
        <v>0</v>
      </c>
    </row>
    <row r="18" spans="1:8" ht="15">
      <c r="A18" s="448" t="s">
        <v>1382</v>
      </c>
      <c r="B18" s="449">
        <v>85</v>
      </c>
      <c r="C18" s="450" t="s">
        <v>157</v>
      </c>
      <c r="D18" s="451">
        <v>0</v>
      </c>
      <c r="E18" s="453">
        <f t="shared" si="0"/>
        <v>0</v>
      </c>
      <c r="F18" s="455">
        <v>0</v>
      </c>
      <c r="G18" s="453">
        <f t="shared" si="1"/>
        <v>0</v>
      </c>
      <c r="H18" s="454">
        <f t="shared" si="2"/>
        <v>0</v>
      </c>
    </row>
    <row r="19" spans="1:8" ht="15">
      <c r="A19" s="456" t="s">
        <v>1383</v>
      </c>
      <c r="B19" s="457">
        <v>20</v>
      </c>
      <c r="C19" s="458" t="s">
        <v>104</v>
      </c>
      <c r="D19" s="453">
        <v>0</v>
      </c>
      <c r="E19" s="452">
        <f t="shared" si="0"/>
        <v>0</v>
      </c>
      <c r="F19" s="453">
        <v>0</v>
      </c>
      <c r="G19" s="452">
        <f t="shared" si="1"/>
        <v>0</v>
      </c>
      <c r="H19" s="459">
        <f t="shared" si="2"/>
        <v>0</v>
      </c>
    </row>
    <row r="20" spans="1:8" ht="15">
      <c r="A20" s="460" t="s">
        <v>1384</v>
      </c>
      <c r="B20" s="461">
        <v>8</v>
      </c>
      <c r="C20" s="461" t="s">
        <v>104</v>
      </c>
      <c r="D20" s="455">
        <v>0</v>
      </c>
      <c r="E20" s="452">
        <f t="shared" si="0"/>
        <v>0</v>
      </c>
      <c r="F20" s="455">
        <v>0</v>
      </c>
      <c r="G20" s="452">
        <f t="shared" si="1"/>
        <v>0</v>
      </c>
      <c r="H20" s="459">
        <f t="shared" si="2"/>
        <v>0</v>
      </c>
    </row>
    <row r="21" spans="1:8" ht="15">
      <c r="A21" s="460" t="s">
        <v>1385</v>
      </c>
      <c r="B21" s="461">
        <v>1</v>
      </c>
      <c r="C21" s="461" t="s">
        <v>1386</v>
      </c>
      <c r="D21" s="455">
        <v>0</v>
      </c>
      <c r="E21" s="452">
        <f t="shared" si="0"/>
        <v>0</v>
      </c>
      <c r="F21" s="455">
        <v>0</v>
      </c>
      <c r="G21" s="452">
        <f t="shared" si="1"/>
        <v>0</v>
      </c>
      <c r="H21" s="459">
        <f t="shared" si="2"/>
        <v>0</v>
      </c>
    </row>
    <row r="22" spans="1:8" ht="15.75" thickBot="1">
      <c r="A22" s="462" t="s">
        <v>1387</v>
      </c>
      <c r="B22" s="463">
        <v>93</v>
      </c>
      <c r="C22" s="464" t="s">
        <v>157</v>
      </c>
      <c r="D22" s="465">
        <v>0</v>
      </c>
      <c r="E22" s="465">
        <f t="shared" si="0"/>
        <v>0</v>
      </c>
      <c r="F22" s="466">
        <v>0</v>
      </c>
      <c r="G22" s="465">
        <f t="shared" si="1"/>
        <v>0</v>
      </c>
      <c r="H22" s="467">
        <f t="shared" si="2"/>
        <v>0</v>
      </c>
    </row>
  </sheetData>
  <sheetProtection/>
  <mergeCells count="5">
    <mergeCell ref="A1:H1"/>
    <mergeCell ref="A2:A3"/>
    <mergeCell ref="B2:C2"/>
    <mergeCell ref="D2:E2"/>
    <mergeCell ref="F2:G2"/>
  </mergeCells>
  <printOptions/>
  <pageMargins left="0.4724409448818898" right="0.2362204724409449" top="0.7874015748031497" bottom="0.7874015748031497" header="0.31496062992125984" footer="0.31496062992125984"/>
  <pageSetup fitToHeight="1" fitToWidth="1" horizontalDpi="600" verticalDpi="600" orientation="landscape" paperSize="9" scale="90" r:id="rId1"/>
  <headerFooter>
    <oddHeader>&amp;C&amp;A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Rojkova</dc:creator>
  <cp:keywords/>
  <dc:description/>
  <cp:lastModifiedBy>Ivan¨</cp:lastModifiedBy>
  <cp:lastPrinted>2020-09-02T13:58:04Z</cp:lastPrinted>
  <dcterms:created xsi:type="dcterms:W3CDTF">2020-08-12T07:41:31Z</dcterms:created>
  <dcterms:modified xsi:type="dcterms:W3CDTF">2021-05-10T07:55:31Z</dcterms:modified>
  <cp:category/>
  <cp:version/>
  <cp:contentType/>
  <cp:contentStatus/>
</cp:coreProperties>
</file>