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2"/>
  </bookViews>
  <sheets>
    <sheet name="Krycí list rozpočtu" sheetId="1" r:id="rId1"/>
    <sheet name="VORN" sheetId="2" r:id="rId2"/>
    <sheet name="Stavební rozpočet" sheetId="3" r:id="rId3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<sst xmlns="http://schemas.openxmlformats.org/spreadsheetml/2006/main" count="525" uniqueCount="285">
  <si>
    <t>Název stavby:</t>
  </si>
  <si>
    <t>Druh stavby:</t>
  </si>
  <si>
    <t>Lokalita:</t>
  </si>
  <si>
    <t>Začátek výstavby: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</si>
  <si>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</si>
  <si>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</si>
  <si>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</si>
  <si>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</si>
  <si>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</si>
  <si>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</si>
  <si>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</si>
  <si>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</si>
  <si>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</si>
  <si>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</si>
  <si>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</si>
  <si>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</si>
  <si>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</si>
  <si>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</si>
  <si>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</si>
  <si>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</si>
  <si>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</si>
  <si>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</si>
  <si>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</si>
  <si>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</si>
  <si>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</si>
  <si>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</si>
  <si>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</si>
  <si>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</si>
  <si>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</si>
  <si>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</si>
  <si>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</si>
  <si>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</si>
  <si>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Objednatel:</t>
  </si>
  <si>
    <t>Projektant:</t>
  </si>
  <si>
    <t>Zhotovitel:</t>
  </si>
  <si>
    <t>Konec výstavby:</t>
  </si>
  <si>
    <t>Zpracoval: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</si>
  <si>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</si>
  <si>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</si>
  <si>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</si>
  <si>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</si>
  <si>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</si>
  <si>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</si>
  <si>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</si>
  <si>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</si>
  <si>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</si>
  <si>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</si>
  <si>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</si>
  <si>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</si>
  <si>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</si>
  <si>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</si>
  <si>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</si>
  <si>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</si>
  <si>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</si>
  <si>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</si>
  <si>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</si>
  <si>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48895598/CZ48895598</t>
  </si>
  <si>
    <t>29221862/CZ29221862</t>
  </si>
  <si>
    <t>28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</si>
  <si>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</si>
  <si>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</si>
  <si>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</si>
  <si>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</si>
  <si>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</si>
  <si>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</si>
  <si>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</si>
  <si>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</si>
  <si>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</si>
  <si>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</si>
  <si>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</si>
  <si>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</si>
  <si>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Slepý stavební rozpočet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</si>
  <si>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</si>
  <si>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</si>
  <si>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</si>
  <si>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</si>
  <si>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</si>
  <si>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</si>
  <si>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</si>
  <si>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</si>
  <si>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</si>
  <si>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</si>
  <si>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</si>
  <si>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</si>
  <si>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</si>
  <si>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</si>
  <si>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</si>
  <si>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</si>
  <si>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</si>
  <si>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</si>
  <si>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</si>
  <si>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</si>
  <si>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</si>
  <si>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</si>
  <si>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</si>
  <si>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</si>
  <si>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</si>
  <si>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</si>
  <si>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</si>
  <si>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Kód</t>
  </si>
  <si>
    <t>63</t>
  </si>
  <si>
    <t>631361721R00</t>
  </si>
  <si>
    <t>634601111R00</t>
  </si>
  <si>
    <t>631315621RT3</t>
  </si>
  <si>
    <t>632411150R00</t>
  </si>
  <si>
    <t>632419104R00</t>
  </si>
  <si>
    <t>631312411R00</t>
  </si>
  <si>
    <t>631316211R00</t>
  </si>
  <si>
    <t>713</t>
  </si>
  <si>
    <t>713191100RT9</t>
  </si>
  <si>
    <t>713191221R00</t>
  </si>
  <si>
    <t>767</t>
  </si>
  <si>
    <t>767996802R00</t>
  </si>
  <si>
    <t>767999802R00</t>
  </si>
  <si>
    <t>91</t>
  </si>
  <si>
    <t>919735123R00</t>
  </si>
  <si>
    <t>93</t>
  </si>
  <si>
    <t>938901132R00</t>
  </si>
  <si>
    <t>96</t>
  </si>
  <si>
    <t>965061631R00</t>
  </si>
  <si>
    <t>965082922R00</t>
  </si>
  <si>
    <t>961055111R00</t>
  </si>
  <si>
    <t>965042141R00</t>
  </si>
  <si>
    <t>97</t>
  </si>
  <si>
    <t>976085211R00</t>
  </si>
  <si>
    <t>H99</t>
  </si>
  <si>
    <t>999281105R00</t>
  </si>
  <si>
    <t>S0</t>
  </si>
  <si>
    <t>979081111R00</t>
  </si>
  <si>
    <t>979081121R00</t>
  </si>
  <si>
    <t>979082111R00</t>
  </si>
  <si>
    <t>979082121R00</t>
  </si>
  <si>
    <t>VLASTNÍ</t>
  </si>
  <si>
    <t>979990108R00</t>
  </si>
  <si>
    <t>Oprava podlahy VOŠ Žďár nad Sázavou-2020</t>
  </si>
  <si>
    <t>Strojírenská 675/9, Žďár nad Sázavou</t>
  </si>
  <si>
    <t>Zkrácený popis</t>
  </si>
  <si>
    <t>Rozměry</t>
  </si>
  <si>
    <t>Nezařazeno</t>
  </si>
  <si>
    <t>Podlahy, podlahové konstrukce</t>
  </si>
  <si>
    <t>Výztuž betonu z ocelových drátků 25kg/m3</t>
  </si>
  <si>
    <t>drátková výztuž 25kg/m3   </t>
  </si>
  <si>
    <t>735,43m2   </t>
  </si>
  <si>
    <t>cena 35Kč/kg   </t>
  </si>
  <si>
    <t>735,43*0.15*(25/1000)   </t>
  </si>
  <si>
    <t>Zaplnění dilatačních spár mazanin, šířka 10 mm-akrylátový tmel</t>
  </si>
  <si>
    <t>základní rastr 4.5*3,7m   </t>
  </si>
  <si>
    <t>4*40,1+2*38,7+18,52*9   </t>
  </si>
  <si>
    <t>okolo sloupů   </t>
  </si>
  <si>
    <t>2,1*11+0,9*1   </t>
  </si>
  <si>
    <t>Mazanina betonová tl. 12 - 24 cm C 20/25-vyztužená ocelovými vlákny 25 kg / m3</t>
  </si>
  <si>
    <t>Drátkobetonová deska tl.150mm z betonu C20/25. se vsypem Mastertop 800 v přírodní šedé barvě v   </t>
  </si>
  <si>
    <t>množství 4-5kg/m2   </t>
  </si>
  <si>
    <t>735,43*0,15   </t>
  </si>
  <si>
    <t>Potěr ze SMS Cemix, ruční zpracování, tl. 50 mm</t>
  </si>
  <si>
    <t>Beton mezi zdí k chodbě a šachtou   </t>
  </si>
  <si>
    <t>17,52   </t>
  </si>
  <si>
    <t>Samonivelač. stěrka BASF, ruční zpracování tl.4 mm</t>
  </si>
  <si>
    <t>Mazanina betonová tl. 5 - 8 cm C 8/10</t>
  </si>
  <si>
    <t>zabetonování rýh v podkladním betonu po montáži chrániček elektro   </t>
  </si>
  <si>
    <t>217.5*0.1*0.03   </t>
  </si>
  <si>
    <t>zabetonování stávajících kanálů po vybourání bočních stěn   </t>
  </si>
  <si>
    <t>39.6*0.3*0.15   </t>
  </si>
  <si>
    <t>Povrchový vsyp na betonové podlahy strojně hlazený</t>
  </si>
  <si>
    <t>Izolace tepelné</t>
  </si>
  <si>
    <t>Položení separační fólie-včetně dodávky PE fólie</t>
  </si>
  <si>
    <t>735,43+17,52   </t>
  </si>
  <si>
    <t>Dilatační pásek podél stěn výšky 100 mm vč.dodávky</t>
  </si>
  <si>
    <t>Konstrukce doplňkové stavební (zámečnické)</t>
  </si>
  <si>
    <t>Demontáž atypických ocelových konstr. do100 kg</t>
  </si>
  <si>
    <t>žebrovaný plech kanálků   </t>
  </si>
  <si>
    <t>41.35kg/m2   </t>
  </si>
  <si>
    <t>((0,4*0,4*20)+(5,2+3,2+1,3)*0,4+(18,52*0,25)+(6,7+1,9+0,45+0,2)*0,4)*41,35   </t>
  </si>
  <si>
    <t>((5,8+0,9)*0,4+(1+1,5+2,9+1,4+0,9)*0,3)*41,35   </t>
  </si>
  <si>
    <t>((1,1+1,1+0,85+2,2+0,5)*0,3)*41,35   </t>
  </si>
  <si>
    <t>Demontáž doplňků staveb o hmotnosti do 100 kg</t>
  </si>
  <si>
    <t>ocelové úhelníky kanálků a šachet   </t>
  </si>
  <si>
    <t>L45/30/2+ zabetonované kotvy   </t>
  </si>
  <si>
    <t>2.76kg/bm   </t>
  </si>
  <si>
    <t>((0,4*4*20)+(5,2*2+3,3*2+0,9*2+0,4*3)+(18,52*2)+(6,7*2+1,9*2+0,45*2+0,2*3))*2,76   </t>
  </si>
  <si>
    <t>((0,4+6,2+5,8)+(0,4+1+0,6+1,2+1,4+1+0,4+0,5+2,9+2,5+1,4+1,2+0,6))*2,76   </t>
  </si>
  <si>
    <t>((0,4+1,1+0,7+1,7+1,3+2,2*2+0,5*2+0,4+0,4+0,85*2))*2,76   </t>
  </si>
  <si>
    <t>Doplňující konstrukce a práce pozemních komunikací, letišť a ploch</t>
  </si>
  <si>
    <t>Řezání stávajícího betonového krytu tl. 10 - 15 cm</t>
  </si>
  <si>
    <t>odříznutí nerovného spoje v místě napojení na stávajkící litou podlahu   </t>
  </si>
  <si>
    <t>10   </t>
  </si>
  <si>
    <t>Různé dokončovací konstrukce a práce inženýrských staveb</t>
  </si>
  <si>
    <t>Úprava podkladu ploch vysátím</t>
  </si>
  <si>
    <t>Bourání konstrukcí</t>
  </si>
  <si>
    <t>Bourání dlažeb dřevěných, špalíky do písku nad 1m2</t>
  </si>
  <si>
    <t>celá plocha haly   </t>
  </si>
  <si>
    <t>38,75*18,52+1,2*1,4+0,5*2,1*1,4+7,45*1,4+0,5*2,1*1,4+4,55*0,6   </t>
  </si>
  <si>
    <t>odpočet m2 vybouraných základů pod stroji   </t>
  </si>
  <si>
    <t>-((1,4*1)*6+1,1*1,75+0,85*0,85+1,8*1,5+1,6*0,95+(1,35*0,95)*2+1,35*0,9+1,35*0,95+1,35*1+2,5*1)   </t>
  </si>
  <si>
    <t>-(1,55*1,45+1,42+5,7*2,1+3,5+1,05*0,95+2,2*0,13+0,8*1,25+(0,25*0,35)*3+0,55*0,25+(0,4*0,25)*2)   </t>
  </si>
  <si>
    <t>-(0,35*0,25+0,35*0,4+0,5*0,25+0,35*0,25+1*0,35+(0,4*0,25)*2+3,8+1,7*1+1,1*2,4+1,1*2,4+1,6*1,1+0,2*1)   </t>
  </si>
  <si>
    <t>-(1,84+1,65*1,07+1,3*0,85+3,04+0,45+0,94*1,15+1,8*0,67+0,41+0,153+0,425+1,25+1,1*2,45+0,15*1,2)   </t>
  </si>
  <si>
    <t>-(0,1*0,7+1,1*2,65+0,345*0,95+0,9*0,7+1,15*1,8+1,15*0,75+0,6*0,1+0,4*0,2+3,35*1+0,35*1+1,65*0,3)   </t>
  </si>
  <si>
    <t>-(0,65*1+0,2*0,15+3*1,4+1,1*1,8+3,37+10,18-1,98)   </t>
  </si>
  <si>
    <t>odpočet m2- kanály   </t>
  </si>
  <si>
    <t>-((0,6*0,6)*20+0,55*18,52+5,2*0,4+3,3*0,4+1,3*0,6+6,8*0,95+3,7*0,7+0,4*0,5+1,2*0,45+5,15*0,72)   </t>
  </si>
  <si>
    <t>-(2*1,5+0,22*1,25+1,1*0,4+1,4*0,4+2,2*0,5+0,5*0,5+1,1*0,6+0,5*0,85+0,4*1+1,1*0,4+0,4*0,9+2,9*0,5)   </t>
  </si>
  <si>
    <t>-(1,4*0,5)   </t>
  </si>
  <si>
    <t>Odstranění násypu tl. do 10 cm, plocha do 2 m2</t>
  </si>
  <si>
    <t>585,13425*0,05   </t>
  </si>
  <si>
    <t>Bourání základů železobetonových</t>
  </si>
  <si>
    <t>ŽB základy pod stroji   </t>
  </si>
  <si>
    <t>0,011*4+0,1+0,155+0,12+(0,238*6)+0,26++0,1185+0,0867+0,333+0,036+0,824+0,24+0,17+0,52+0,753+1,39   </t>
  </si>
  <si>
    <t>0,711+0,297+0,081+0,337+0,18++0,21+0,15+0,216+0,18+0,24+0,46+0,024++0,17+0,297+0,255+0,006+0,4224   </t>
  </si>
  <si>
    <t>0,0184+0,05+0,05+0,05+0,365+0,31+0,22+0,265+0,443+0,15+0,431+0,08+0,714+0,535+0,231+0,596+0,375   </t>
  </si>
  <si>
    <t>ŽB základy šachet a kanálků   </t>
  </si>
  <si>
    <t>Bourání mazanin betonových tl. 10 cm, nad 4 m2</t>
  </si>
  <si>
    <t>zaříznutí stávající podlahy   </t>
  </si>
  <si>
    <t>10*0,15   </t>
  </si>
  <si>
    <t>beton mezi zdivem a kanálem   </t>
  </si>
  <si>
    <t>17,52*0,04   </t>
  </si>
  <si>
    <t>Prorážení otvorů a ostatní bourací práce</t>
  </si>
  <si>
    <t>Vybourání kanal.rámů a poklopů plochy do 0,3 m2</t>
  </si>
  <si>
    <t>poklopy kanálků 400*400mm   </t>
  </si>
  <si>
    <t>20   </t>
  </si>
  <si>
    <t>Ostatní přesuny hmot</t>
  </si>
  <si>
    <t>Přesun hmot pro opravy a údržbu do výšky 6 m</t>
  </si>
  <si>
    <t>Přesuny sutí</t>
  </si>
  <si>
    <t>Odvoz suti a vybour. hmot na skládku do 1 km</t>
  </si>
  <si>
    <t>Příplatek k odvozu za každý další 1 km</t>
  </si>
  <si>
    <t>15*83,31   </t>
  </si>
  <si>
    <t>Vnitrostaveništní doprava suti do 10 m</t>
  </si>
  <si>
    <t>Příplatek k vnitrost. dopravě suti za dalších 5 m</t>
  </si>
  <si>
    <t>Poplatek za skladku -nebezpečný odpad-spalovna-kód 17 09 03</t>
  </si>
  <si>
    <t>Poplatek za skládku suti - železobeton</t>
  </si>
  <si>
    <t>83,31-41   </t>
  </si>
  <si>
    <t>Doba výstavby:</t>
  </si>
  <si>
    <t>Zpracováno dne:</t>
  </si>
  <si>
    <t>29.06.2020</t>
  </si>
  <si>
    <t>MJ</t>
  </si>
  <si>
    <t>t</t>
  </si>
  <si>
    <t>m</t>
  </si>
  <si>
    <t>m3</t>
  </si>
  <si>
    <t>m2</t>
  </si>
  <si>
    <t>kg</t>
  </si>
  <si>
    <t>kus</t>
  </si>
  <si>
    <t>kompl.</t>
  </si>
  <si>
    <t>Množství</t>
  </si>
  <si>
    <t>Cena/MJ</t>
  </si>
  <si>
    <t>(Kč)</t>
  </si>
  <si>
    <t>VOŠ a SPŠ, Žďár nad Sázavou</t>
  </si>
  <si>
    <t>Projekce Petr, s.r.o. Brněnská 145, Nové Město na</t>
  </si>
  <si>
    <t>.</t>
  </si>
  <si>
    <t>ing.Milan Petr</t>
  </si>
  <si>
    <t>Náklady (Kč)</t>
  </si>
  <si>
    <t>Dodávka</t>
  </si>
  <si>
    <t>Celkem:</t>
  </si>
  <si>
    <t>Celkem</t>
  </si>
  <si>
    <t>Cenová</t>
  </si>
  <si>
    <t>soustava</t>
  </si>
  <si>
    <t>RTS I / 2020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</si>
  <si>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</si>
  <si>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</si>
  <si>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</si>
  <si>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</si>
  <si>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</si>
  <si>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</si>
  <si>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</si>
  <si>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</si>
  <si>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</si>
  <si>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</si>
  <si>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63_</t>
  </si>
  <si>
    <t>713_</t>
  </si>
  <si>
    <t>767_</t>
  </si>
  <si>
    <t>91_</t>
  </si>
  <si>
    <t>93_</t>
  </si>
  <si>
    <t>96_</t>
  </si>
  <si>
    <t>97_</t>
  </si>
  <si>
    <t>H99_</t>
  </si>
  <si>
    <t>S0_</t>
  </si>
  <si>
    <t>Z99999_</t>
  </si>
  <si>
    <t>_6_</t>
  </si>
  <si>
    <t>_71_</t>
  </si>
  <si>
    <t>_76_</t>
  </si>
  <si>
    <t>_9_</t>
  </si>
  <si>
    <t>_Z_</t>
  </si>
  <si>
    <t>_</t>
  </si>
  <si>
    <t>MAT</t>
  </si>
  <si>
    <t>WORK</t>
  </si>
  <si>
    <t>CELK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</si>
</sst>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"/>
    <numFmt numFmtId="167" formatCode="dd\.mmmm\.yy"/>
  </numFmts>
  <fonts count="50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i/>
      <sz val="10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5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64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4" fillId="33" borderId="24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9" fontId="9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right" vertical="center"/>
      <protection/>
    </xf>
    <xf numFmtId="4" fontId="9" fillId="0" borderId="28" xfId="0" applyNumberFormat="1" applyFont="1" applyFill="1" applyBorder="1" applyAlignment="1" applyProtection="1">
      <alignment horizontal="right"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0" fillId="34" borderId="16" xfId="0" applyNumberFormat="1" applyFont="1" applyFill="1" applyBorder="1" applyAlignment="1" applyProtection="1">
      <alignment horizontal="left" vertical="center"/>
      <protection/>
    </xf>
    <xf numFmtId="49" fontId="11" fillId="35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32" xfId="0" applyNumberFormat="1" applyFont="1" applyFill="1" applyBorder="1" applyAlignment="1" applyProtection="1">
      <alignment horizontal="left" vertical="center"/>
      <protection/>
    </xf>
    <xf numFmtId="49" fontId="14" fillId="34" borderId="16" xfId="0" applyNumberFormat="1" applyFont="1" applyFill="1" applyBorder="1" applyAlignment="1" applyProtection="1">
      <alignment horizontal="left" vertical="center"/>
      <protection/>
    </xf>
    <xf numFmtId="49" fontId="15" fillId="35" borderId="0" xfId="0" applyNumberFormat="1" applyFont="1" applyFill="1" applyBorder="1" applyAlignment="1" applyProtection="1">
      <alignment horizontal="left" vertical="center"/>
      <protection/>
    </xf>
    <xf numFmtId="49" fontId="9" fillId="0" borderId="31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" fontId="16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33" xfId="0" applyNumberFormat="1" applyFont="1" applyFill="1" applyBorder="1" applyAlignment="1" applyProtection="1">
      <alignment horizontal="center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14" fillId="34" borderId="16" xfId="0" applyNumberFormat="1" applyFont="1" applyFill="1" applyBorder="1" applyAlignment="1" applyProtection="1">
      <alignment horizontal="right" vertical="center"/>
      <protection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14" fillId="34" borderId="16" xfId="0" applyNumberFormat="1" applyFont="1" applyFill="1" applyBorder="1" applyAlignment="1" applyProtection="1">
      <alignment horizontal="right" vertical="center"/>
      <protection/>
    </xf>
    <xf numFmtId="4" fontId="15" fillId="35" borderId="0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9" fontId="1" fillId="35" borderId="0" xfId="0" applyNumberFormat="1" applyFont="1" applyFill="1" applyBorder="1" applyAlignment="1" applyProtection="1">
      <alignment horizontal="left" vertical="center"/>
      <protection/>
    </xf>
    <xf numFmtId="49" fontId="9" fillId="35" borderId="0" xfId="0" applyNumberFormat="1" applyFont="1" applyFill="1" applyBorder="1" applyAlignment="1" applyProtection="1">
      <alignment horizontal="left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49" fontId="9" fillId="35" borderId="0" xfId="0" applyNumberFormat="1" applyFont="1" applyFill="1" applyBorder="1" applyAlignment="1" applyProtection="1">
      <alignment horizontal="right" vertical="center"/>
      <protection/>
    </xf>
    <xf numFmtId="0" fontId="1" fillId="0" borderId="0" xfId="1" applyNumberFormat="1" applyFont="1" applyFill="1" applyBorder="1" applyAlignment="1" applyProtection="1">
      <alignment/>
      <protection/>
    </xf>
    <xf numFmtId="4" fontId="17" fillId="0" borderId="0" xfId="0" applyNumberFormat="1" applyFont="1" applyFill="1" applyBorder="1" applyAlignment="1" applyProtection="1">
      <alignment horizontal="right" vertical="center"/>
      <protection/>
    </xf>
    <xf numFmtId="49" fontId="1" fillId="36" borderId="39" xfId="0" applyNumberFormat="1" applyFont="1" applyFill="1" applyBorder="1" applyAlignment="1" applyProtection="1">
      <alignment horizontal="left" vertical="center"/>
      <protection/>
    </xf>
    <xf numFmtId="4" fontId="1" fillId="36" borderId="39" xfId="0" applyNumberFormat="1" applyFont="1" applyFill="1" applyBorder="1" applyAlignment="1" applyProtection="1">
      <alignment horizontal="right" vertical="center"/>
      <protection/>
    </xf>
    <xf numFmtId="49" fontId="1" fillId="36" borderId="4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43" xfId="0" applyNumberFormat="1" applyFont="1" applyFill="1" applyBorder="1" applyAlignment="1" applyProtection="1">
      <alignment horizontal="center" vertical="center"/>
      <protection/>
    </xf>
    <xf numFmtId="49" fontId="7" fillId="0" borderId="44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49" fontId="5" fillId="0" borderId="44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49" fontId="4" fillId="0" borderId="44" xfId="0" applyNumberFormat="1" applyFont="1" applyFill="1" applyBorder="1" applyAlignment="1" applyProtection="1">
      <alignment horizontal="left" vertical="center"/>
      <protection/>
    </xf>
    <xf numFmtId="0" fontId="4" fillId="0" borderId="24" xfId="0" applyNumberFormat="1" applyFont="1" applyFill="1" applyBorder="1" applyAlignment="1" applyProtection="1">
      <alignment horizontal="left" vertical="center"/>
      <protection/>
    </xf>
    <xf numFmtId="49" fontId="4" fillId="33" borderId="44" xfId="0" applyNumberFormat="1" applyFont="1" applyFill="1" applyBorder="1" applyAlignment="1" applyProtection="1">
      <alignment horizontal="left" vertical="center"/>
      <protection/>
    </xf>
    <xf numFmtId="0" fontId="4" fillId="33" borderId="43" xfId="0" applyNumberFormat="1" applyFont="1" applyFill="1" applyBorder="1" applyAlignment="1" applyProtection="1">
      <alignment horizontal="left" vertical="center"/>
      <protection/>
    </xf>
    <xf numFmtId="49" fontId="5" fillId="0" borderId="45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46" xfId="0" applyNumberFormat="1" applyFont="1" applyFill="1" applyBorder="1" applyAlignment="1" applyProtection="1">
      <alignment horizontal="left" vertical="center"/>
      <protection/>
    </xf>
    <xf numFmtId="49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47" xfId="0" applyNumberFormat="1" applyFont="1" applyFill="1" applyBorder="1" applyAlignment="1" applyProtection="1">
      <alignment horizontal="left" vertical="center"/>
      <protection/>
    </xf>
    <xf numFmtId="49" fontId="5" fillId="0" borderId="48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49" xfId="0" applyNumberFormat="1" applyFont="1" applyFill="1" applyBorder="1" applyAlignment="1" applyProtection="1">
      <alignment horizontal="left" vertical="center"/>
      <protection/>
    </xf>
    <xf numFmtId="49" fontId="4" fillId="0" borderId="26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50" xfId="0" applyNumberFormat="1" applyFont="1" applyFill="1" applyBorder="1" applyAlignment="1" applyProtection="1">
      <alignment horizontal="left" vertical="center"/>
      <protection/>
    </xf>
    <xf numFmtId="0" fontId="9" fillId="0" borderId="51" xfId="0" applyNumberFormat="1" applyFont="1" applyFill="1" applyBorder="1" applyAlignment="1" applyProtection="1">
      <alignment horizontal="left" vertical="center"/>
      <protection/>
    </xf>
    <xf numFmtId="0" fontId="9" fillId="0" borderId="52" xfId="0" applyNumberFormat="1" applyFont="1" applyFill="1" applyBorder="1" applyAlignment="1" applyProtection="1">
      <alignment horizontal="left" vertical="center"/>
      <protection/>
    </xf>
    <xf numFmtId="49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53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54" xfId="0" applyNumberFormat="1" applyFont="1" applyFill="1" applyBorder="1" applyAlignment="1" applyProtection="1">
      <alignment horizontal="left" vertical="center"/>
      <protection/>
    </xf>
    <xf numFmtId="49" fontId="9" fillId="0" borderId="55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56" xfId="0" applyNumberFormat="1" applyFont="1" applyFill="1" applyBorder="1" applyAlignment="1" applyProtection="1">
      <alignment horizontal="left" vertical="center"/>
      <protection/>
    </xf>
    <xf numFmtId="49" fontId="4" fillId="0" borderId="55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4" fillId="0" borderId="56" xfId="0" applyNumberFormat="1" applyFont="1" applyFill="1" applyBorder="1" applyAlignment="1" applyProtection="1">
      <alignment horizontal="left" vertical="center"/>
      <protection/>
    </xf>
    <xf numFmtId="4" fontId="4" fillId="0" borderId="55" xfId="0" applyNumberFormat="1" applyFont="1" applyFill="1" applyBorder="1" applyAlignment="1" applyProtection="1">
      <alignment horizontal="right" vertical="center"/>
      <protection/>
    </xf>
    <xf numFmtId="0" fontId="4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56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57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58" xfId="0" applyNumberFormat="1" applyFont="1" applyFill="1" applyBorder="1" applyAlignment="1" applyProtection="1">
      <alignment horizontal="left" vertical="center"/>
      <protection/>
    </xf>
    <xf numFmtId="49" fontId="9" fillId="0" borderId="59" xfId="0" applyNumberFormat="1" applyFont="1" applyFill="1" applyBorder="1" applyAlignment="1" applyProtection="1">
      <alignment horizontal="left" vertical="center"/>
      <protection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20" xfId="0" applyNumberFormat="1" applyFont="1" applyFill="1" applyBorder="1" applyAlignment="1" applyProtection="1">
      <alignment horizontal="left" vertical="center"/>
      <protection/>
    </xf>
    <xf numFmtId="49" fontId="9" fillId="0" borderId="50" xfId="0" applyNumberFormat="1" applyFont="1" applyFill="1" applyBorder="1" applyAlignment="1" applyProtection="1">
      <alignment horizontal="center" vertical="center"/>
      <protection/>
    </xf>
    <xf numFmtId="0" fontId="9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52" xfId="0" applyNumberFormat="1" applyFont="1" applyFill="1" applyBorder="1" applyAlignment="1" applyProtection="1">
      <alignment horizontal="center" vertical="center"/>
      <protection/>
    </xf>
    <xf numFmtId="49" fontId="9" fillId="0" borderId="57" xfId="0" applyNumberFormat="1" applyFont="1" applyFill="1" applyBorder="1" applyAlignment="1" applyProtection="1">
      <alignment horizontal="left" vertical="center"/>
      <protection/>
    </xf>
    <xf numFmtId="0" fontId="9" fillId="0" borderId="26" xfId="0" applyNumberFormat="1" applyFont="1" applyFill="1" applyBorder="1" applyAlignment="1" applyProtection="1">
      <alignment horizontal="left" vertical="center"/>
      <protection/>
    </xf>
    <xf numFmtId="0" fontId="9" fillId="0" borderId="58" xfId="0" applyNumberFormat="1" applyFont="1" applyFill="1" applyBorder="1" applyAlignment="1" applyProtection="1">
      <alignment horizontal="left" vertical="center"/>
      <protection/>
    </xf>
    <xf numFmtId="49" fontId="14" fillId="34" borderId="16" xfId="0" applyNumberFormat="1" applyFont="1" applyFill="1" applyBorder="1" applyAlignment="1" applyProtection="1">
      <alignment horizontal="left" vertical="center"/>
      <protection/>
    </xf>
    <xf numFmtId="0" fontId="14" fillId="34" borderId="16" xfId="0" applyNumberFormat="1" applyFont="1" applyFill="1" applyBorder="1" applyAlignment="1" applyProtection="1">
      <alignment horizontal="left" vertical="center"/>
      <protection/>
    </xf>
    <xf numFmtId="49" fontId="9" fillId="35" borderId="0" xfId="0" applyNumberFormat="1" applyFont="1" applyFill="1" applyBorder="1" applyAlignment="1" applyProtection="1">
      <alignment horizontal="left" vertical="center"/>
      <protection/>
    </xf>
    <xf numFmtId="0" fontId="15" fillId="35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49" fontId="1" fillId="36" borderId="40" xfId="0" applyNumberFormat="1" applyFont="1" applyFill="1" applyBorder="1" applyAlignment="1" applyProtection="1">
      <alignment horizontal="left" vertical="center"/>
      <protection/>
    </xf>
    <xf numFmtId="0" fontId="12" fillId="0" borderId="39" xfId="0" applyNumberFormat="1" applyFont="1" applyFill="1" applyBorder="1" applyAlignment="1" applyProtection="1">
      <alignment horizontal="left" vertical="center"/>
      <protection/>
    </xf>
    <xf numFmtId="49" fontId="15" fillId="35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3.25">
      <c r="A1" s="73"/>
      <c r="B1" s="1"/>
      <c r="C1" s="74" t="s">
        <v>22</v>
      </c>
      <c r="D1" s="75"/>
      <c r="E1" s="75"/>
      <c r="F1" s="75"/>
      <c r="G1" s="75"/>
      <c r="H1" s="75"/>
      <c r="I1" s="75"/>
    </row>
    <row r="2" spans="1:10" ht="12.75">
      <c r="A2" s="76" t="s">
        <v>0</v>
      </c>
      <c r="B2" s="77"/>
      <c r="C2" s="80" t="str">
        <f>'Stavební rozpočet'!C2</f>
        <v>Oprava podlahy VOŠ Žďár nad Sázavou-2020</v>
      </c>
      <c r="D2" s="81"/>
      <c r="E2" s="83" t="s">
        <v>32</v>
      </c>
      <c r="F2" s="83" t="str">
        <f>'Stavební rozpočet'!I2</f>
        <v>VOŠ a SPŠ, Žďár nad Sázavou</v>
      </c>
      <c r="G2" s="77"/>
      <c r="H2" s="83" t="s">
        <v>52</v>
      </c>
      <c r="I2" s="84" t="s">
        <v>56</v>
      </c>
      <c r="J2" s="18"/>
    </row>
    <row r="3" spans="1:10" ht="12.75">
      <c r="A3" s="78"/>
      <c r="B3" s="79"/>
      <c r="C3" s="82"/>
      <c r="D3" s="82"/>
      <c r="E3" s="79"/>
      <c r="F3" s="79"/>
      <c r="G3" s="79"/>
      <c r="H3" s="79"/>
      <c r="I3" s="85"/>
      <c r="J3" s="18"/>
    </row>
    <row r="4" spans="1:10" ht="12.75">
      <c r="A4" s="86" t="s">
        <v>1</v>
      </c>
      <c r="B4" s="79"/>
      <c r="C4" s="87" t="str">
        <f>'Stavební rozpočet'!C4</f>
        <v> </v>
      </c>
      <c r="D4" s="79"/>
      <c r="E4" s="87" t="s">
        <v>33</v>
      </c>
      <c r="F4" s="87" t="str">
        <f>'Stavební rozpočet'!I4</f>
        <v>Projekce Petr, s.r.o. Brněnská 145, Nové Město na</v>
      </c>
      <c r="G4" s="79"/>
      <c r="H4" s="87" t="s">
        <v>52</v>
      </c>
      <c r="I4" s="88" t="s">
        <v>57</v>
      </c>
      <c r="J4" s="18"/>
    </row>
    <row r="5" spans="1:10" ht="12.75">
      <c r="A5" s="78"/>
      <c r="B5" s="79"/>
      <c r="C5" s="79"/>
      <c r="D5" s="79"/>
      <c r="E5" s="79"/>
      <c r="F5" s="79"/>
      <c r="G5" s="79"/>
      <c r="H5" s="79"/>
      <c r="I5" s="85"/>
      <c r="J5" s="18"/>
    </row>
    <row r="6" spans="1:10" ht="12.75">
      <c r="A6" s="86" t="s">
        <v>2</v>
      </c>
      <c r="B6" s="79"/>
      <c r="C6" s="87" t="str">
        <f>'Stavební rozpočet'!C6</f>
        <v>Strojírenská 675/9, Žďár nad Sázavou</v>
      </c>
      <c r="D6" s="79"/>
      <c r="E6" s="87" t="s">
        <v>34</v>
      </c>
      <c r="F6" s="87" t="str">
        <f>'Stavební rozpočet'!I6</f>
        <v>.</v>
      </c>
      <c r="G6" s="79"/>
      <c r="H6" s="87" t="s">
        <v>52</v>
      </c>
      <c r="I6" s="88"/>
      <c r="J6" s="18"/>
    </row>
    <row r="7" spans="1:10" ht="12.75">
      <c r="A7" s="78"/>
      <c r="B7" s="79"/>
      <c r="C7" s="79"/>
      <c r="D7" s="79"/>
      <c r="E7" s="79"/>
      <c r="F7" s="79"/>
      <c r="G7" s="79"/>
      <c r="H7" s="79"/>
      <c r="I7" s="85"/>
      <c r="J7" s="18"/>
    </row>
    <row r="8" spans="1:10" ht="12.75">
      <c r="A8" s="86" t="s">
        <v>3</v>
      </c>
      <c r="B8" s="79"/>
      <c r="C8" s="87" t="str">
        <f>'Stavební rozpočet'!F4</f>
        <v> </v>
      </c>
      <c r="D8" s="79"/>
      <c r="E8" s="87" t="s">
        <v>35</v>
      </c>
      <c r="F8" s="87" t="str">
        <f>'Stavební rozpočet'!F6</f>
        <v> </v>
      </c>
      <c r="G8" s="79"/>
      <c r="H8" s="89" t="s">
        <v>53</v>
      </c>
      <c r="I8" s="88" t="s">
        <v>58</v>
      </c>
      <c r="J8" s="18"/>
    </row>
    <row r="9" spans="1:10" ht="12.75">
      <c r="A9" s="78"/>
      <c r="B9" s="79"/>
      <c r="C9" s="79"/>
      <c r="D9" s="79"/>
      <c r="E9" s="79"/>
      <c r="F9" s="79"/>
      <c r="G9" s="79"/>
      <c r="H9" s="79"/>
      <c r="I9" s="85"/>
      <c r="J9" s="18"/>
    </row>
    <row r="10" spans="1:10" ht="12.75">
      <c r="A10" s="86" t="s">
        <v>4</v>
      </c>
      <c r="B10" s="79"/>
      <c r="C10" s="87" t="str">
        <f>'Stavební rozpočet'!C8</f>
        <v> </v>
      </c>
      <c r="D10" s="79"/>
      <c r="E10" s="87" t="s">
        <v>36</v>
      </c>
      <c r="F10" s="87" t="str">
        <f>'Stavební rozpočet'!I8</f>
        <v>ing.Milan Petr</v>
      </c>
      <c r="G10" s="79"/>
      <c r="H10" s="89" t="s">
        <v>54</v>
      </c>
      <c r="I10" s="92" t="str">
        <f>'Stavební rozpočet'!F8</f>
        <v>29.06.2020</v>
      </c>
      <c r="J10" s="18"/>
    </row>
    <row r="11" spans="1:10" ht="12.75">
      <c r="A11" s="90"/>
      <c r="B11" s="91"/>
      <c r="C11" s="91"/>
      <c r="D11" s="91"/>
      <c r="E11" s="91"/>
      <c r="F11" s="91"/>
      <c r="G11" s="91"/>
      <c r="H11" s="91"/>
      <c r="I11" s="93"/>
      <c r="J11" s="18"/>
    </row>
    <row r="12" spans="1:9" ht="23.25" customHeight="1">
      <c r="A12" s="94" t="s">
        <v>5</v>
      </c>
      <c r="B12" s="95"/>
      <c r="C12" s="95"/>
      <c r="D12" s="95"/>
      <c r="E12" s="95"/>
      <c r="F12" s="95"/>
      <c r="G12" s="95"/>
      <c r="H12" s="95"/>
      <c r="I12" s="95"/>
    </row>
    <row r="13" spans="1:10" ht="26.25" customHeight="1">
      <c r="A13" s="2" t="s">
        <v>6</v>
      </c>
      <c r="B13" s="96" t="s">
        <v>19</v>
      </c>
      <c r="C13" s="97"/>
      <c r="D13" s="2" t="s">
        <v>23</v>
      </c>
      <c r="E13" s="96" t="s">
        <v>37</v>
      </c>
      <c r="F13" s="97"/>
      <c r="G13" s="2" t="s">
        <v>38</v>
      </c>
      <c r="H13" s="96" t="s">
        <v>55</v>
      </c>
      <c r="I13" s="97"/>
      <c r="J13" s="18"/>
    </row>
    <row r="14" spans="1:10" ht="15" customHeight="1">
      <c r="A14" s="3" t="s">
        <v>7</v>
      </c>
      <c r="B14" s="8" t="s">
        <v>20</v>
      </c>
      <c r="C14" s="12">
        <f>SUM('Stavební rozpočet'!AB12:AB121)</f>
        <v>0</v>
      </c>
      <c r="D14" s="98" t="s">
        <v>24</v>
      </c>
      <c r="E14" s="99"/>
      <c r="F14" s="12">
        <f>VORN!I15</f>
        <v>0</v>
      </c>
      <c r="G14" s="98" t="s">
        <v>39</v>
      </c>
      <c r="H14" s="99"/>
      <c r="I14" s="12">
        <f>VORN!I21</f>
        <v>0</v>
      </c>
      <c r="J14" s="18"/>
    </row>
    <row r="15" spans="1:10" ht="15" customHeight="1">
      <c r="A15" s="4"/>
      <c r="B15" s="8" t="s">
        <v>21</v>
      </c>
      <c r="C15" s="12">
        <f>SUM('Stavební rozpočet'!AC12:AC121)</f>
        <v>0</v>
      </c>
      <c r="D15" s="98" t="s">
        <v>25</v>
      </c>
      <c r="E15" s="99"/>
      <c r="F15" s="12">
        <f>VORN!I16</f>
        <v>0</v>
      </c>
      <c r="G15" s="98" t="s">
        <v>40</v>
      </c>
      <c r="H15" s="99"/>
      <c r="I15" s="12">
        <f>VORN!I22</f>
        <v>0</v>
      </c>
      <c r="J15" s="18"/>
    </row>
    <row r="16" spans="1:10" ht="15" customHeight="1">
      <c r="A16" s="3" t="s">
        <v>8</v>
      </c>
      <c r="B16" s="8" t="s">
        <v>20</v>
      </c>
      <c r="C16" s="12">
        <f>SUM('Stavební rozpočet'!AD12:AD121)</f>
        <v>0</v>
      </c>
      <c r="D16" s="98" t="s">
        <v>26</v>
      </c>
      <c r="E16" s="99"/>
      <c r="F16" s="12">
        <f>VORN!I17</f>
        <v>0</v>
      </c>
      <c r="G16" s="98" t="s">
        <v>41</v>
      </c>
      <c r="H16" s="99"/>
      <c r="I16" s="12">
        <f>VORN!I23</f>
        <v>0</v>
      </c>
      <c r="J16" s="18"/>
    </row>
    <row r="17" spans="1:10" ht="15" customHeight="1">
      <c r="A17" s="4"/>
      <c r="B17" s="8" t="s">
        <v>21</v>
      </c>
      <c r="C17" s="12">
        <f>SUM('Stavební rozpočet'!AE12:AE121)</f>
        <v>0</v>
      </c>
      <c r="D17" s="98"/>
      <c r="E17" s="99"/>
      <c r="F17" s="13"/>
      <c r="G17" s="98" t="s">
        <v>42</v>
      </c>
      <c r="H17" s="99"/>
      <c r="I17" s="12">
        <f>VORN!I24</f>
        <v>0</v>
      </c>
      <c r="J17" s="18"/>
    </row>
    <row r="18" spans="1:10" ht="15" customHeight="1">
      <c r="A18" s="3" t="s">
        <v>9</v>
      </c>
      <c r="B18" s="8" t="s">
        <v>20</v>
      </c>
      <c r="C18" s="12">
        <f>SUM('Stavební rozpočet'!AF12:AF121)</f>
        <v>0</v>
      </c>
      <c r="D18" s="98"/>
      <c r="E18" s="99"/>
      <c r="F18" s="13"/>
      <c r="G18" s="98" t="s">
        <v>43</v>
      </c>
      <c r="H18" s="99"/>
      <c r="I18" s="12">
        <f>VORN!I25</f>
        <v>0</v>
      </c>
      <c r="J18" s="18"/>
    </row>
    <row r="19" spans="1:10" ht="15" customHeight="1">
      <c r="A19" s="4"/>
      <c r="B19" s="8" t="s">
        <v>21</v>
      </c>
      <c r="C19" s="12">
        <f>SUM('Stavební rozpočet'!AG12:AG121)</f>
        <v>0</v>
      </c>
      <c r="D19" s="98"/>
      <c r="E19" s="99"/>
      <c r="F19" s="13"/>
      <c r="G19" s="98" t="s">
        <v>44</v>
      </c>
      <c r="H19" s="99"/>
      <c r="I19" s="12">
        <f>VORN!I26</f>
        <v>0</v>
      </c>
      <c r="J19" s="18"/>
    </row>
    <row r="20" spans="1:10" ht="15" customHeight="1">
      <c r="A20" s="100" t="s">
        <v>10</v>
      </c>
      <c r="B20" s="101"/>
      <c r="C20" s="12">
        <f>SUM('Stavební rozpočet'!AH12:AH121)</f>
        <v>0</v>
      </c>
      <c r="D20" s="98"/>
      <c r="E20" s="99"/>
      <c r="F20" s="13"/>
      <c r="G20" s="98"/>
      <c r="H20" s="99"/>
      <c r="I20" s="13"/>
      <c r="J20" s="18"/>
    </row>
    <row r="21" spans="1:10" ht="15" customHeight="1">
      <c r="A21" s="100" t="s">
        <v>11</v>
      </c>
      <c r="B21" s="101"/>
      <c r="C21" s="12">
        <f>SUM('Stavební rozpočet'!Z12:Z121)</f>
        <v>0</v>
      </c>
      <c r="D21" s="98"/>
      <c r="E21" s="99"/>
      <c r="F21" s="13"/>
      <c r="G21" s="98"/>
      <c r="H21" s="99"/>
      <c r="I21" s="13"/>
      <c r="J21" s="18"/>
    </row>
    <row r="22" spans="1:10" ht="16.5" customHeight="1">
      <c r="A22" s="100" t="s">
        <v>12</v>
      </c>
      <c r="B22" s="101"/>
      <c r="C22" s="12">
        <f>SUM(C14:C21)</f>
        <v>0</v>
      </c>
      <c r="D22" s="100" t="s">
        <v>27</v>
      </c>
      <c r="E22" s="101"/>
      <c r="F22" s="12">
        <f>SUM(F14:F21)</f>
        <v>0</v>
      </c>
      <c r="G22" s="100" t="s">
        <v>45</v>
      </c>
      <c r="H22" s="101"/>
      <c r="I22" s="12">
        <f>SUM(I14:I21)</f>
        <v>0</v>
      </c>
      <c r="J22" s="18"/>
    </row>
    <row r="23" spans="1:10" ht="15" customHeight="1">
      <c r="A23" s="5"/>
      <c r="B23" s="5"/>
      <c r="C23" s="10"/>
      <c r="D23" s="100" t="s">
        <v>28</v>
      </c>
      <c r="E23" s="101"/>
      <c r="F23" s="14">
        <v>0</v>
      </c>
      <c r="G23" s="100" t="s">
        <v>46</v>
      </c>
      <c r="H23" s="101"/>
      <c r="I23" s="12">
        <v>0</v>
      </c>
      <c r="J23" s="18"/>
    </row>
    <row r="24" spans="4:10" ht="15" customHeight="1">
      <c r="D24" s="5"/>
      <c r="E24" s="5"/>
      <c r="F24" s="15"/>
      <c r="G24" s="100" t="s">
        <v>47</v>
      </c>
      <c r="H24" s="101"/>
      <c r="I24" s="12">
        <f>vorn_sum</f>
        <v>0</v>
      </c>
      <c r="J24" s="18"/>
    </row>
    <row r="25" spans="6:10" ht="15" customHeight="1">
      <c r="F25" s="16"/>
      <c r="G25" s="100" t="s">
        <v>48</v>
      </c>
      <c r="H25" s="101"/>
      <c r="I25" s="12">
        <v>0</v>
      </c>
      <c r="J25" s="18"/>
    </row>
    <row r="26" spans="1:9" ht="12.75">
      <c r="A26" s="1"/>
      <c r="B26" s="1"/>
      <c r="C26" s="1"/>
      <c r="G26" s="5"/>
      <c r="H26" s="5"/>
      <c r="I26" s="5"/>
    </row>
    <row r="27" spans="1:9" ht="15" customHeight="1">
      <c r="A27" s="102" t="s">
        <v>13</v>
      </c>
      <c r="B27" s="103"/>
      <c r="C27" s="20">
        <f>SUM('Stavební rozpočet'!AJ12:AJ121)</f>
        <v>0</v>
      </c>
      <c r="D27" s="11"/>
      <c r="E27" s="1"/>
      <c r="F27" s="1"/>
      <c r="G27" s="1"/>
      <c r="H27" s="1"/>
      <c r="I27" s="1"/>
    </row>
    <row r="28" spans="1:10" ht="15" customHeight="1">
      <c r="A28" s="102" t="s">
        <v>14</v>
      </c>
      <c r="B28" s="103"/>
      <c r="C28" s="20">
        <f>SUM('Stavební rozpočet'!AK12:AK121)</f>
        <v>0</v>
      </c>
      <c r="D28" s="102" t="s">
        <v>29</v>
      </c>
      <c r="E28" s="103"/>
      <c r="F28" s="20">
        <f>ROUND(C28*(15/100),2)</f>
        <v>0</v>
      </c>
      <c r="G28" s="102" t="s">
        <v>49</v>
      </c>
      <c r="H28" s="103"/>
      <c r="I28" s="20">
        <f>SUM(C27:C29)</f>
        <v>0</v>
      </c>
      <c r="J28" s="18"/>
    </row>
    <row r="29" spans="1:10" ht="15" customHeight="1">
      <c r="A29" s="102" t="s">
        <v>15</v>
      </c>
      <c r="B29" s="103"/>
      <c r="C29" s="20">
        <f>SUM('Stavební rozpočet'!AL12:AL121)+(F22+I22+F23+I23+I24+I25)</f>
        <v>0</v>
      </c>
      <c r="D29" s="102" t="s">
        <v>30</v>
      </c>
      <c r="E29" s="103"/>
      <c r="F29" s="20">
        <f>ROUND(C29*(21/100),2)</f>
        <v>0</v>
      </c>
      <c r="G29" s="102" t="s">
        <v>50</v>
      </c>
      <c r="H29" s="103"/>
      <c r="I29" s="20">
        <f>SUM(F28:F29)+I28</f>
        <v>0</v>
      </c>
      <c r="J29" s="18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10" ht="14.25" customHeight="1">
      <c r="A31" s="104" t="s">
        <v>16</v>
      </c>
      <c r="B31" s="105"/>
      <c r="C31" s="106"/>
      <c r="D31" s="104" t="s">
        <v>31</v>
      </c>
      <c r="E31" s="105"/>
      <c r="F31" s="106"/>
      <c r="G31" s="104" t="s">
        <v>51</v>
      </c>
      <c r="H31" s="105"/>
      <c r="I31" s="106"/>
      <c r="J31" s="19"/>
    </row>
    <row r="32" spans="1:10" ht="14.25" customHeight="1">
      <c r="A32" s="107"/>
      <c r="B32" s="108"/>
      <c r="C32" s="109"/>
      <c r="D32" s="107"/>
      <c r="E32" s="108"/>
      <c r="F32" s="109"/>
      <c r="G32" s="107"/>
      <c r="H32" s="108"/>
      <c r="I32" s="109"/>
      <c r="J32" s="19"/>
    </row>
    <row r="33" spans="1:10" ht="14.25" customHeight="1">
      <c r="A33" s="107"/>
      <c r="B33" s="108"/>
      <c r="C33" s="109"/>
      <c r="D33" s="107"/>
      <c r="E33" s="108"/>
      <c r="F33" s="109"/>
      <c r="G33" s="107"/>
      <c r="H33" s="108"/>
      <c r="I33" s="109"/>
      <c r="J33" s="19"/>
    </row>
    <row r="34" spans="1:10" ht="14.25" customHeight="1">
      <c r="A34" s="107"/>
      <c r="B34" s="108"/>
      <c r="C34" s="109"/>
      <c r="D34" s="107"/>
      <c r="E34" s="108"/>
      <c r="F34" s="109"/>
      <c r="G34" s="107"/>
      <c r="H34" s="108"/>
      <c r="I34" s="109"/>
      <c r="J34" s="19"/>
    </row>
    <row r="35" spans="1:10" ht="14.25" customHeight="1">
      <c r="A35" s="110" t="s">
        <v>17</v>
      </c>
      <c r="B35" s="111"/>
      <c r="C35" s="112"/>
      <c r="D35" s="110" t="s">
        <v>17</v>
      </c>
      <c r="E35" s="111"/>
      <c r="F35" s="112"/>
      <c r="G35" s="110" t="s">
        <v>17</v>
      </c>
      <c r="H35" s="111"/>
      <c r="I35" s="112"/>
      <c r="J35" s="19"/>
    </row>
    <row r="36" spans="1:9" ht="11.25" customHeight="1">
      <c r="A36" s="7" t="s">
        <v>18</v>
      </c>
      <c r="B36" s="9"/>
      <c r="C36" s="9"/>
      <c r="D36" s="9"/>
      <c r="E36" s="9"/>
      <c r="F36" s="9"/>
      <c r="G36" s="9"/>
      <c r="H36" s="9"/>
      <c r="I36" s="9"/>
    </row>
    <row r="37" spans="1:9" ht="12.75">
      <c r="A37" s="87"/>
      <c r="B37" s="79"/>
      <c r="C37" s="79"/>
      <c r="D37" s="79"/>
      <c r="E37" s="79"/>
      <c r="F37" s="79"/>
      <c r="G37" s="79"/>
      <c r="H37" s="79"/>
      <c r="I37" s="79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23.25">
      <c r="A1" s="73"/>
      <c r="B1" s="1"/>
      <c r="C1" s="74" t="s">
        <v>67</v>
      </c>
      <c r="D1" s="75"/>
      <c r="E1" s="75"/>
      <c r="F1" s="75"/>
      <c r="G1" s="75"/>
      <c r="H1" s="75"/>
      <c r="I1" s="75"/>
    </row>
    <row r="2" spans="1:10" ht="12.75">
      <c r="A2" s="76" t="s">
        <v>0</v>
      </c>
      <c r="B2" s="77"/>
      <c r="C2" s="80" t="str">
        <f>'Stavební rozpočet'!C2</f>
        <v>Oprava podlahy VOŠ Žďár nad Sázavou-2020</v>
      </c>
      <c r="D2" s="81"/>
      <c r="E2" s="83" t="s">
        <v>32</v>
      </c>
      <c r="F2" s="83" t="str">
        <f>'Stavební rozpočet'!I2</f>
        <v>VOŠ a SPŠ, Žďár nad Sázavou</v>
      </c>
      <c r="G2" s="77"/>
      <c r="H2" s="83" t="s">
        <v>52</v>
      </c>
      <c r="I2" s="84" t="s">
        <v>56</v>
      </c>
      <c r="J2" s="18"/>
    </row>
    <row r="3" spans="1:10" ht="12.75">
      <c r="A3" s="78"/>
      <c r="B3" s="79"/>
      <c r="C3" s="82"/>
      <c r="D3" s="82"/>
      <c r="E3" s="79"/>
      <c r="F3" s="79"/>
      <c r="G3" s="79"/>
      <c r="H3" s="79"/>
      <c r="I3" s="85"/>
      <c r="J3" s="18"/>
    </row>
    <row r="4" spans="1:10" ht="12.75">
      <c r="A4" s="86" t="s">
        <v>1</v>
      </c>
      <c r="B4" s="79"/>
      <c r="C4" s="87" t="str">
        <f>'Stavební rozpočet'!C4</f>
        <v> </v>
      </c>
      <c r="D4" s="79"/>
      <c r="E4" s="87" t="s">
        <v>33</v>
      </c>
      <c r="F4" s="87" t="str">
        <f>'Stavební rozpočet'!I4</f>
        <v>Projekce Petr, s.r.o. Brněnská 145, Nové Město na</v>
      </c>
      <c r="G4" s="79"/>
      <c r="H4" s="87" t="s">
        <v>52</v>
      </c>
      <c r="I4" s="88" t="s">
        <v>57</v>
      </c>
      <c r="J4" s="18"/>
    </row>
    <row r="5" spans="1:10" ht="12.75">
      <c r="A5" s="78"/>
      <c r="B5" s="79"/>
      <c r="C5" s="79"/>
      <c r="D5" s="79"/>
      <c r="E5" s="79"/>
      <c r="F5" s="79"/>
      <c r="G5" s="79"/>
      <c r="H5" s="79"/>
      <c r="I5" s="85"/>
      <c r="J5" s="18"/>
    </row>
    <row r="6" spans="1:10" ht="12.75">
      <c r="A6" s="86" t="s">
        <v>2</v>
      </c>
      <c r="B6" s="79"/>
      <c r="C6" s="87" t="str">
        <f>'Stavební rozpočet'!C6</f>
        <v>Strojírenská 675/9, Žďár nad Sázavou</v>
      </c>
      <c r="D6" s="79"/>
      <c r="E6" s="87" t="s">
        <v>34</v>
      </c>
      <c r="F6" s="87" t="str">
        <f>'Stavební rozpočet'!I6</f>
        <v>.</v>
      </c>
      <c r="G6" s="79"/>
      <c r="H6" s="87" t="s">
        <v>52</v>
      </c>
      <c r="I6" s="88"/>
      <c r="J6" s="18"/>
    </row>
    <row r="7" spans="1:10" ht="12.75">
      <c r="A7" s="78"/>
      <c r="B7" s="79"/>
      <c r="C7" s="79"/>
      <c r="D7" s="79"/>
      <c r="E7" s="79"/>
      <c r="F7" s="79"/>
      <c r="G7" s="79"/>
      <c r="H7" s="79"/>
      <c r="I7" s="85"/>
      <c r="J7" s="18"/>
    </row>
    <row r="8" spans="1:10" ht="12.75">
      <c r="A8" s="86" t="s">
        <v>3</v>
      </c>
      <c r="B8" s="79"/>
      <c r="C8" s="87" t="str">
        <f>'Stavební rozpočet'!F4</f>
        <v> </v>
      </c>
      <c r="D8" s="79"/>
      <c r="E8" s="87" t="s">
        <v>35</v>
      </c>
      <c r="F8" s="87" t="str">
        <f>'Stavební rozpočet'!F6</f>
        <v> </v>
      </c>
      <c r="G8" s="79"/>
      <c r="H8" s="89" t="s">
        <v>53</v>
      </c>
      <c r="I8" s="88" t="s">
        <v>58</v>
      </c>
      <c r="J8" s="18"/>
    </row>
    <row r="9" spans="1:10" ht="12.75">
      <c r="A9" s="78"/>
      <c r="B9" s="79"/>
      <c r="C9" s="79"/>
      <c r="D9" s="79"/>
      <c r="E9" s="79"/>
      <c r="F9" s="79"/>
      <c r="G9" s="79"/>
      <c r="H9" s="79"/>
      <c r="I9" s="85"/>
      <c r="J9" s="18"/>
    </row>
    <row r="10" spans="1:10" ht="12.75">
      <c r="A10" s="86" t="s">
        <v>4</v>
      </c>
      <c r="B10" s="79"/>
      <c r="C10" s="87" t="str">
        <f>'Stavební rozpočet'!C8</f>
        <v> </v>
      </c>
      <c r="D10" s="79"/>
      <c r="E10" s="87" t="s">
        <v>36</v>
      </c>
      <c r="F10" s="87" t="str">
        <f>'Stavební rozpočet'!I8</f>
        <v>ing.Milan Petr</v>
      </c>
      <c r="G10" s="79"/>
      <c r="H10" s="89" t="s">
        <v>54</v>
      </c>
      <c r="I10" s="92" t="str">
        <f>'Stavební rozpočet'!F8</f>
        <v>29.06.2020</v>
      </c>
      <c r="J10" s="18"/>
    </row>
    <row r="11" spans="1:10" ht="12.75">
      <c r="A11" s="90"/>
      <c r="B11" s="91"/>
      <c r="C11" s="91"/>
      <c r="D11" s="91"/>
      <c r="E11" s="91"/>
      <c r="F11" s="91"/>
      <c r="G11" s="91"/>
      <c r="H11" s="91"/>
      <c r="I11" s="93"/>
      <c r="J11" s="18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5" customHeight="1">
      <c r="A13" s="113" t="s">
        <v>59</v>
      </c>
      <c r="B13" s="114"/>
      <c r="C13" s="114"/>
      <c r="D13" s="114"/>
      <c r="E13" s="114"/>
      <c r="F13" s="22"/>
      <c r="G13" s="22"/>
      <c r="H13" s="22"/>
      <c r="I13" s="22"/>
    </row>
    <row r="14" spans="1:10" ht="12.75">
      <c r="A14" s="115" t="s">
        <v>60</v>
      </c>
      <c r="B14" s="116"/>
      <c r="C14" s="116"/>
      <c r="D14" s="116"/>
      <c r="E14" s="117"/>
      <c r="F14" s="23" t="s">
        <v>68</v>
      </c>
      <c r="G14" s="23" t="s">
        <v>69</v>
      </c>
      <c r="H14" s="23" t="s">
        <v>70</v>
      </c>
      <c r="I14" s="23" t="s">
        <v>68</v>
      </c>
      <c r="J14" s="19"/>
    </row>
    <row r="15" spans="1:10" ht="12.75">
      <c r="A15" s="118" t="s">
        <v>24</v>
      </c>
      <c r="B15" s="119"/>
      <c r="C15" s="119"/>
      <c r="D15" s="119"/>
      <c r="E15" s="120"/>
      <c r="F15" s="24">
        <v>0</v>
      </c>
      <c r="G15" s="27"/>
      <c r="H15" s="27"/>
      <c r="I15" s="24">
        <f>F15</f>
        <v>0</v>
      </c>
      <c r="J15" s="18"/>
    </row>
    <row r="16" spans="1:10" ht="12.75">
      <c r="A16" s="118" t="s">
        <v>25</v>
      </c>
      <c r="B16" s="119"/>
      <c r="C16" s="119"/>
      <c r="D16" s="119"/>
      <c r="E16" s="120"/>
      <c r="F16" s="24">
        <v>0</v>
      </c>
      <c r="G16" s="27"/>
      <c r="H16" s="27"/>
      <c r="I16" s="24">
        <f>F16</f>
        <v>0</v>
      </c>
      <c r="J16" s="18"/>
    </row>
    <row r="17" spans="1:10" ht="12.75">
      <c r="A17" s="121" t="s">
        <v>26</v>
      </c>
      <c r="B17" s="122"/>
      <c r="C17" s="122"/>
      <c r="D17" s="122"/>
      <c r="E17" s="123"/>
      <c r="F17" s="25">
        <v>0</v>
      </c>
      <c r="G17" s="28"/>
      <c r="H17" s="28"/>
      <c r="I17" s="25">
        <f>F17</f>
        <v>0</v>
      </c>
      <c r="J17" s="18"/>
    </row>
    <row r="18" spans="1:10" ht="12.75">
      <c r="A18" s="124" t="s">
        <v>61</v>
      </c>
      <c r="B18" s="125"/>
      <c r="C18" s="125"/>
      <c r="D18" s="125"/>
      <c r="E18" s="126"/>
      <c r="F18" s="26"/>
      <c r="G18" s="29"/>
      <c r="H18" s="29"/>
      <c r="I18" s="30">
        <f>SUM(I15:I17)</f>
        <v>0</v>
      </c>
      <c r="J18" s="19"/>
    </row>
    <row r="19" spans="1:9" ht="12.75">
      <c r="A19" s="21"/>
      <c r="B19" s="21"/>
      <c r="C19" s="21"/>
      <c r="D19" s="21"/>
      <c r="E19" s="21"/>
      <c r="F19" s="21"/>
      <c r="G19" s="21"/>
      <c r="H19" s="21"/>
      <c r="I19" s="21"/>
    </row>
    <row r="20" spans="1:10" ht="12.75">
      <c r="A20" s="115" t="s">
        <v>55</v>
      </c>
      <c r="B20" s="116"/>
      <c r="C20" s="116"/>
      <c r="D20" s="116"/>
      <c r="E20" s="117"/>
      <c r="F20" s="23" t="s">
        <v>68</v>
      </c>
      <c r="G20" s="23" t="s">
        <v>69</v>
      </c>
      <c r="H20" s="23" t="s">
        <v>70</v>
      </c>
      <c r="I20" s="23" t="s">
        <v>68</v>
      </c>
      <c r="J20" s="19"/>
    </row>
    <row r="21" spans="1:10" ht="12.75">
      <c r="A21" s="118" t="s">
        <v>39</v>
      </c>
      <c r="B21" s="119"/>
      <c r="C21" s="119"/>
      <c r="D21" s="119"/>
      <c r="E21" s="120"/>
      <c r="F21" s="27"/>
      <c r="G21" s="24">
        <v>1.3</v>
      </c>
      <c r="H21" s="24">
        <f>'Krycí list rozpočtu'!C22</f>
        <v>0</v>
      </c>
      <c r="I21" s="24">
        <f>ROUND((G21/100)*H21,2)</f>
        <v>0</v>
      </c>
      <c r="J21" s="18"/>
    </row>
    <row r="22" spans="1:10" ht="12.75">
      <c r="A22" s="118" t="s">
        <v>40</v>
      </c>
      <c r="B22" s="119"/>
      <c r="C22" s="119"/>
      <c r="D22" s="119"/>
      <c r="E22" s="120"/>
      <c r="F22" s="24">
        <v>0</v>
      </c>
      <c r="G22" s="27"/>
      <c r="H22" s="27"/>
      <c r="I22" s="24">
        <f>F22</f>
        <v>0</v>
      </c>
      <c r="J22" s="18"/>
    </row>
    <row r="23" spans="1:10" ht="12.75">
      <c r="A23" s="118" t="s">
        <v>41</v>
      </c>
      <c r="B23" s="119"/>
      <c r="C23" s="119"/>
      <c r="D23" s="119"/>
      <c r="E23" s="120"/>
      <c r="F23" s="24">
        <v>0</v>
      </c>
      <c r="G23" s="27"/>
      <c r="H23" s="27"/>
      <c r="I23" s="24">
        <f>F23</f>
        <v>0</v>
      </c>
      <c r="J23" s="18"/>
    </row>
    <row r="24" spans="1:10" ht="12.75">
      <c r="A24" s="118" t="s">
        <v>42</v>
      </c>
      <c r="B24" s="119"/>
      <c r="C24" s="119"/>
      <c r="D24" s="119"/>
      <c r="E24" s="120"/>
      <c r="F24" s="24">
        <v>0</v>
      </c>
      <c r="G24" s="27"/>
      <c r="H24" s="27"/>
      <c r="I24" s="24">
        <f>F24</f>
        <v>0</v>
      </c>
      <c r="J24" s="18"/>
    </row>
    <row r="25" spans="1:10" ht="12.75">
      <c r="A25" s="118" t="s">
        <v>43</v>
      </c>
      <c r="B25" s="119"/>
      <c r="C25" s="119"/>
      <c r="D25" s="119"/>
      <c r="E25" s="120"/>
      <c r="F25" s="24">
        <v>0</v>
      </c>
      <c r="G25" s="27"/>
      <c r="H25" s="27"/>
      <c r="I25" s="24">
        <f>F25</f>
        <v>0</v>
      </c>
      <c r="J25" s="18"/>
    </row>
    <row r="26" spans="1:10" ht="12.75">
      <c r="A26" s="121" t="s">
        <v>44</v>
      </c>
      <c r="B26" s="122"/>
      <c r="C26" s="122"/>
      <c r="D26" s="122"/>
      <c r="E26" s="123"/>
      <c r="F26" s="25">
        <v>0</v>
      </c>
      <c r="G26" s="28"/>
      <c r="H26" s="28"/>
      <c r="I26" s="25">
        <f>F26</f>
        <v>0</v>
      </c>
      <c r="J26" s="18"/>
    </row>
    <row r="27" spans="1:10" ht="12.75">
      <c r="A27" s="124" t="s">
        <v>62</v>
      </c>
      <c r="B27" s="125"/>
      <c r="C27" s="125"/>
      <c r="D27" s="125"/>
      <c r="E27" s="126"/>
      <c r="F27" s="26"/>
      <c r="G27" s="29"/>
      <c r="H27" s="29"/>
      <c r="I27" s="30">
        <f>SUM(I21:I26)</f>
        <v>0</v>
      </c>
      <c r="J27" s="19"/>
    </row>
    <row r="28" spans="1:9" ht="12.75">
      <c r="A28" s="21"/>
      <c r="B28" s="21"/>
      <c r="C28" s="21"/>
      <c r="D28" s="21"/>
      <c r="E28" s="21"/>
      <c r="F28" s="21"/>
      <c r="G28" s="21"/>
      <c r="H28" s="21"/>
      <c r="I28" s="21"/>
    </row>
    <row r="29" spans="1:10" ht="15" customHeight="1">
      <c r="A29" s="127" t="s">
        <v>63</v>
      </c>
      <c r="B29" s="128"/>
      <c r="C29" s="128"/>
      <c r="D29" s="128"/>
      <c r="E29" s="129"/>
      <c r="F29" s="130">
        <f>I18+I27</f>
        <v>0</v>
      </c>
      <c r="G29" s="131"/>
      <c r="H29" s="131"/>
      <c r="I29" s="132"/>
      <c r="J29" s="19"/>
    </row>
    <row r="30" spans="1:9" ht="12.75">
      <c r="A30" s="9"/>
      <c r="B30" s="9"/>
      <c r="C30" s="9"/>
      <c r="D30" s="9"/>
      <c r="E30" s="9"/>
      <c r="F30" s="9"/>
      <c r="G30" s="9"/>
      <c r="H30" s="9"/>
      <c r="I30" s="9"/>
    </row>
    <row r="33" spans="1:9" ht="15" customHeight="1">
      <c r="A33" s="113" t="s">
        <v>64</v>
      </c>
      <c r="B33" s="114"/>
      <c r="C33" s="114"/>
      <c r="D33" s="114"/>
      <c r="E33" s="114"/>
      <c r="F33" s="22"/>
      <c r="G33" s="22"/>
      <c r="H33" s="22"/>
      <c r="I33" s="22"/>
    </row>
    <row r="34" spans="1:10" ht="12.75">
      <c r="A34" s="115" t="s">
        <v>65</v>
      </c>
      <c r="B34" s="116"/>
      <c r="C34" s="116"/>
      <c r="D34" s="116"/>
      <c r="E34" s="117"/>
      <c r="F34" s="23" t="s">
        <v>68</v>
      </c>
      <c r="G34" s="23" t="s">
        <v>69</v>
      </c>
      <c r="H34" s="23" t="s">
        <v>70</v>
      </c>
      <c r="I34" s="23" t="s">
        <v>68</v>
      </c>
      <c r="J34" s="19"/>
    </row>
    <row r="35" spans="1:10" ht="12.75">
      <c r="A35" s="121"/>
      <c r="B35" s="122"/>
      <c r="C35" s="122"/>
      <c r="D35" s="122"/>
      <c r="E35" s="123"/>
      <c r="F35" s="25">
        <v>0</v>
      </c>
      <c r="G35" s="28"/>
      <c r="H35" s="28"/>
      <c r="I35" s="25">
        <f>F35</f>
        <v>0</v>
      </c>
      <c r="J35" s="18"/>
    </row>
    <row r="36" spans="1:10" ht="12.75">
      <c r="A36" s="124" t="s">
        <v>66</v>
      </c>
      <c r="B36" s="125"/>
      <c r="C36" s="125"/>
      <c r="D36" s="125"/>
      <c r="E36" s="126"/>
      <c r="F36" s="26"/>
      <c r="G36" s="29"/>
      <c r="H36" s="29"/>
      <c r="I36" s="30">
        <f>SUM(I35:I35)</f>
        <v>0</v>
      </c>
      <c r="J36" s="1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</sheetData>
  <sheetProtection/>
  <mergeCells count="51">
    <mergeCell ref="A35:E35"/>
    <mergeCell ref="A36:E36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24"/>
  <sheetViews>
    <sheetView tabSelected="1" zoomScalePageLayoutView="0" workbookViewId="0" topLeftCell="A1">
      <pane ySplit="11" topLeftCell="A96" activePane="bottomLeft" state="frozen"/>
      <selection pane="topLeft" activeCell="A1" sqref="A1"/>
      <selection pane="bottomLeft" activeCell="A121" sqref="A121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68.00390625" style="0" customWidth="1"/>
    <col min="4" max="5" width="11.57421875" style="0" customWidth="1"/>
    <col min="6" max="6" width="6.421875" style="0" customWidth="1"/>
    <col min="7" max="7" width="12.8515625" style="0" customWidth="1"/>
    <col min="8" max="8" width="12.00390625" style="0" customWidth="1"/>
    <col min="9" max="11" width="14.28125" style="0" customWidth="1"/>
    <col min="12" max="12" width="11.7109375" style="0" customWidth="1"/>
    <col min="13" max="24" width="11.57421875" style="0" customWidth="1"/>
    <col min="25" max="62" width="12.140625" style="0" hidden="1" customWidth="1"/>
  </cols>
  <sheetData>
    <row r="1" spans="1:12" ht="23.25">
      <c r="A1" s="133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12.75">
      <c r="A2" s="76" t="s">
        <v>0</v>
      </c>
      <c r="B2" s="77"/>
      <c r="C2" s="80" t="s">
        <v>134</v>
      </c>
      <c r="D2" s="134" t="s">
        <v>231</v>
      </c>
      <c r="E2" s="77"/>
      <c r="F2" s="134" t="s">
        <v>73</v>
      </c>
      <c r="G2" s="77"/>
      <c r="H2" s="83" t="s">
        <v>32</v>
      </c>
      <c r="I2" s="83" t="s">
        <v>245</v>
      </c>
      <c r="J2" s="77"/>
      <c r="K2" s="77"/>
      <c r="L2" s="135"/>
      <c r="M2" s="18"/>
    </row>
    <row r="3" spans="1:13" ht="12.75">
      <c r="A3" s="78"/>
      <c r="B3" s="79"/>
      <c r="C3" s="82"/>
      <c r="D3" s="79"/>
      <c r="E3" s="79"/>
      <c r="F3" s="79"/>
      <c r="G3" s="79"/>
      <c r="H3" s="79"/>
      <c r="I3" s="79"/>
      <c r="J3" s="79"/>
      <c r="K3" s="79"/>
      <c r="L3" s="85"/>
      <c r="M3" s="18"/>
    </row>
    <row r="4" spans="1:13" ht="12.75">
      <c r="A4" s="86" t="s">
        <v>1</v>
      </c>
      <c r="B4" s="79"/>
      <c r="C4" s="87" t="s">
        <v>73</v>
      </c>
      <c r="D4" s="89" t="s">
        <v>3</v>
      </c>
      <c r="E4" s="79"/>
      <c r="F4" s="89" t="s">
        <v>73</v>
      </c>
      <c r="G4" s="79"/>
      <c r="H4" s="87" t="s">
        <v>33</v>
      </c>
      <c r="I4" s="87" t="s">
        <v>246</v>
      </c>
      <c r="J4" s="79"/>
      <c r="K4" s="79"/>
      <c r="L4" s="85"/>
      <c r="M4" s="18"/>
    </row>
    <row r="5" spans="1:13" ht="12.75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85"/>
      <c r="M5" s="18"/>
    </row>
    <row r="6" spans="1:13" ht="12.75">
      <c r="A6" s="86" t="s">
        <v>2</v>
      </c>
      <c r="B6" s="79"/>
      <c r="C6" s="87" t="s">
        <v>135</v>
      </c>
      <c r="D6" s="89" t="s">
        <v>35</v>
      </c>
      <c r="E6" s="79"/>
      <c r="F6" s="89" t="s">
        <v>73</v>
      </c>
      <c r="G6" s="79"/>
      <c r="H6" s="87" t="s">
        <v>34</v>
      </c>
      <c r="I6" s="87" t="s">
        <v>247</v>
      </c>
      <c r="J6" s="79"/>
      <c r="K6" s="79"/>
      <c r="L6" s="85"/>
      <c r="M6" s="18"/>
    </row>
    <row r="7" spans="1:13" ht="12.75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  <c r="L7" s="85"/>
      <c r="M7" s="18"/>
    </row>
    <row r="8" spans="1:13" ht="12.75">
      <c r="A8" s="86" t="s">
        <v>4</v>
      </c>
      <c r="B8" s="79"/>
      <c r="C8" s="87" t="s">
        <v>73</v>
      </c>
      <c r="D8" s="89" t="s">
        <v>232</v>
      </c>
      <c r="E8" s="79"/>
      <c r="F8" s="89" t="s">
        <v>233</v>
      </c>
      <c r="G8" s="79"/>
      <c r="H8" s="87" t="s">
        <v>36</v>
      </c>
      <c r="I8" s="87" t="s">
        <v>248</v>
      </c>
      <c r="J8" s="79"/>
      <c r="K8" s="79"/>
      <c r="L8" s="85"/>
      <c r="M8" s="18"/>
    </row>
    <row r="9" spans="1:13" ht="12.75">
      <c r="A9" s="136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8"/>
      <c r="M9" s="18"/>
    </row>
    <row r="10" spans="1:13" ht="12.75">
      <c r="A10" s="31" t="s">
        <v>72</v>
      </c>
      <c r="B10" s="38" t="s">
        <v>99</v>
      </c>
      <c r="C10" s="139" t="s">
        <v>136</v>
      </c>
      <c r="D10" s="140"/>
      <c r="E10" s="141"/>
      <c r="F10" s="38" t="s">
        <v>234</v>
      </c>
      <c r="G10" s="42" t="s">
        <v>242</v>
      </c>
      <c r="H10" s="47" t="s">
        <v>243</v>
      </c>
      <c r="I10" s="142" t="s">
        <v>249</v>
      </c>
      <c r="J10" s="143"/>
      <c r="K10" s="144"/>
      <c r="L10" s="52" t="s">
        <v>253</v>
      </c>
      <c r="M10" s="19"/>
    </row>
    <row r="11" spans="1:62" ht="12.75">
      <c r="A11" s="32" t="s">
        <v>73</v>
      </c>
      <c r="B11" s="39" t="s">
        <v>73</v>
      </c>
      <c r="C11" s="145" t="s">
        <v>137</v>
      </c>
      <c r="D11" s="146"/>
      <c r="E11" s="147"/>
      <c r="F11" s="39" t="s">
        <v>73</v>
      </c>
      <c r="G11" s="39" t="s">
        <v>73</v>
      </c>
      <c r="H11" s="48" t="s">
        <v>244</v>
      </c>
      <c r="I11" s="49" t="s">
        <v>250</v>
      </c>
      <c r="J11" s="50" t="s">
        <v>21</v>
      </c>
      <c r="K11" s="51" t="s">
        <v>252</v>
      </c>
      <c r="L11" s="53" t="s">
        <v>254</v>
      </c>
      <c r="M11" s="19"/>
      <c r="Z11" s="55" t="s">
        <v>256</v>
      </c>
      <c r="AA11" s="55" t="s">
        <v>257</v>
      </c>
      <c r="AB11" s="55" t="s">
        <v>258</v>
      </c>
      <c r="AC11" s="55" t="s">
        <v>259</v>
      </c>
      <c r="AD11" s="55" t="s">
        <v>260</v>
      </c>
      <c r="AE11" s="55" t="s">
        <v>261</v>
      </c>
      <c r="AF11" s="55" t="s">
        <v>262</v>
      </c>
      <c r="AG11" s="55" t="s">
        <v>263</v>
      </c>
      <c r="AH11" s="55" t="s">
        <v>264</v>
      </c>
      <c r="BH11" s="55" t="s">
        <v>282</v>
      </c>
      <c r="BI11" s="55" t="s">
        <v>283</v>
      </c>
      <c r="BJ11" s="55" t="s">
        <v>284</v>
      </c>
    </row>
    <row r="12" spans="1:12" ht="12.75">
      <c r="A12" s="33"/>
      <c r="B12" s="40"/>
      <c r="C12" s="148" t="s">
        <v>138</v>
      </c>
      <c r="D12" s="149"/>
      <c r="E12" s="149"/>
      <c r="F12" s="33" t="s">
        <v>73</v>
      </c>
      <c r="G12" s="33" t="s">
        <v>73</v>
      </c>
      <c r="H12" s="33" t="s">
        <v>73</v>
      </c>
      <c r="I12" s="61">
        <f>I13+I38+I42+I56+I60+I63+I91+I95+I97+I106</f>
        <v>0</v>
      </c>
      <c r="J12" s="61">
        <f>J13+J38+J42+J56+J60+J63+J91+J95+J97+J106</f>
        <v>0</v>
      </c>
      <c r="K12" s="61">
        <f>K13+K38+K42+K56+K60+K63+K91+K95+K97+K106</f>
        <v>0</v>
      </c>
      <c r="L12" s="54"/>
    </row>
    <row r="13" spans="1:47" ht="12.75">
      <c r="A13" s="64"/>
      <c r="B13" s="65" t="s">
        <v>100</v>
      </c>
      <c r="C13" s="150" t="s">
        <v>139</v>
      </c>
      <c r="D13" s="151"/>
      <c r="E13" s="151"/>
      <c r="F13" s="64" t="s">
        <v>73</v>
      </c>
      <c r="G13" s="64" t="s">
        <v>73</v>
      </c>
      <c r="H13" s="64" t="s">
        <v>73</v>
      </c>
      <c r="I13" s="66">
        <f>SUM(I14:I37)</f>
        <v>0</v>
      </c>
      <c r="J13" s="66">
        <f>SUM(J14:J37)</f>
        <v>0</v>
      </c>
      <c r="K13" s="66">
        <f>SUM(K14:K37)</f>
        <v>0</v>
      </c>
      <c r="L13" s="67"/>
      <c r="AI13" s="55"/>
      <c r="AS13" s="62">
        <f>SUM(AJ14:AJ37)</f>
        <v>0</v>
      </c>
      <c r="AT13" s="62">
        <f>SUM(AK14:AK37)</f>
        <v>0</v>
      </c>
      <c r="AU13" s="62">
        <f>SUM(AL14:AL37)</f>
        <v>0</v>
      </c>
    </row>
    <row r="14" spans="1:62" ht="12.75">
      <c r="A14" s="17" t="s">
        <v>74</v>
      </c>
      <c r="B14" s="17" t="s">
        <v>101</v>
      </c>
      <c r="C14" s="89" t="s">
        <v>140</v>
      </c>
      <c r="D14" s="152"/>
      <c r="E14" s="152"/>
      <c r="F14" s="17" t="s">
        <v>235</v>
      </c>
      <c r="G14" s="59">
        <v>4.75786</v>
      </c>
      <c r="H14" s="59">
        <v>0</v>
      </c>
      <c r="I14" s="59">
        <f>G14*AO14</f>
        <v>0</v>
      </c>
      <c r="J14" s="59">
        <f>G14*AP14</f>
        <v>0</v>
      </c>
      <c r="K14" s="59">
        <f>G14*H14</f>
        <v>0</v>
      </c>
      <c r="L14" s="60" t="s">
        <v>255</v>
      </c>
      <c r="Z14" s="59">
        <f>IF(AQ14="5",BJ14,0)</f>
        <v>0</v>
      </c>
      <c r="AB14" s="59">
        <f>IF(AQ14="1",BH14,0)</f>
        <v>0</v>
      </c>
      <c r="AC14" s="59">
        <f>IF(AQ14="1",BI14,0)</f>
        <v>0</v>
      </c>
      <c r="AD14" s="59">
        <f>IF(AQ14="7",BH14,0)</f>
        <v>0</v>
      </c>
      <c r="AE14" s="59">
        <f>IF(AQ14="7",BI14,0)</f>
        <v>0</v>
      </c>
      <c r="AF14" s="59">
        <f>IF(AQ14="2",BH14,0)</f>
        <v>0</v>
      </c>
      <c r="AG14" s="59">
        <f>IF(AQ14="2",BI14,0)</f>
        <v>0</v>
      </c>
      <c r="AH14" s="59">
        <f>IF(AQ14="0",BJ14,0)</f>
        <v>0</v>
      </c>
      <c r="AI14" s="55"/>
      <c r="AJ14" s="43">
        <f>IF(AN14=0,K14,0)</f>
        <v>0</v>
      </c>
      <c r="AK14" s="43">
        <f>IF(AN14=15,K14,0)</f>
        <v>0</v>
      </c>
      <c r="AL14" s="43">
        <f>IF(AN14=21,K14,0)</f>
        <v>0</v>
      </c>
      <c r="AN14" s="59">
        <v>21</v>
      </c>
      <c r="AO14" s="59">
        <f>H14*0.763244188393928</f>
        <v>0</v>
      </c>
      <c r="AP14" s="59">
        <f>H14*(1-0.763244188393928)</f>
        <v>0</v>
      </c>
      <c r="AQ14" s="56" t="s">
        <v>74</v>
      </c>
      <c r="AV14" s="59">
        <f>AW14+AX14</f>
        <v>0</v>
      </c>
      <c r="AW14" s="59">
        <f>G14*AO14</f>
        <v>0</v>
      </c>
      <c r="AX14" s="59">
        <f>G14*AP14</f>
        <v>0</v>
      </c>
      <c r="AY14" s="60" t="s">
        <v>266</v>
      </c>
      <c r="AZ14" s="60" t="s">
        <v>276</v>
      </c>
      <c r="BA14" s="55" t="s">
        <v>281</v>
      </c>
      <c r="BC14" s="59">
        <f>AW14+AX14</f>
        <v>0</v>
      </c>
      <c r="BD14" s="59">
        <f>H14/(100-BE14)*100</f>
        <v>0</v>
      </c>
      <c r="BE14" s="59">
        <v>0</v>
      </c>
      <c r="BF14" s="59">
        <f>14</f>
        <v>14</v>
      </c>
      <c r="BH14" s="43">
        <f>G14*AO14</f>
        <v>0</v>
      </c>
      <c r="BI14" s="43">
        <f>G14*AP14</f>
        <v>0</v>
      </c>
      <c r="BJ14" s="43">
        <f>G14*H14</f>
        <v>0</v>
      </c>
    </row>
    <row r="15" spans="1:12" ht="12.75">
      <c r="A15" s="68"/>
      <c r="B15" s="68"/>
      <c r="C15" s="153" t="s">
        <v>141</v>
      </c>
      <c r="D15" s="154"/>
      <c r="E15" s="154"/>
      <c r="F15" s="68"/>
      <c r="G15" s="69">
        <v>1</v>
      </c>
      <c r="H15" s="68"/>
      <c r="I15" s="68"/>
      <c r="J15" s="68"/>
      <c r="K15" s="68"/>
      <c r="L15" s="68"/>
    </row>
    <row r="16" spans="1:12" ht="12.75">
      <c r="A16" s="68"/>
      <c r="B16" s="68"/>
      <c r="C16" s="153" t="s">
        <v>142</v>
      </c>
      <c r="D16" s="154"/>
      <c r="E16" s="154"/>
      <c r="F16" s="68"/>
      <c r="G16" s="69"/>
      <c r="H16" s="68"/>
      <c r="I16" s="68"/>
      <c r="J16" s="68"/>
      <c r="K16" s="68"/>
      <c r="L16" s="68"/>
    </row>
    <row r="17" spans="1:12" ht="12.75">
      <c r="A17" s="68"/>
      <c r="B17" s="68"/>
      <c r="C17" s="153" t="s">
        <v>143</v>
      </c>
      <c r="D17" s="154"/>
      <c r="E17" s="154"/>
      <c r="F17" s="68"/>
      <c r="G17" s="69">
        <v>1</v>
      </c>
      <c r="H17" s="68"/>
      <c r="I17" s="68"/>
      <c r="J17" s="68"/>
      <c r="K17" s="68"/>
      <c r="L17" s="68"/>
    </row>
    <row r="18" spans="1:12" ht="12.75">
      <c r="A18" s="68"/>
      <c r="B18" s="68"/>
      <c r="C18" s="153" t="s">
        <v>144</v>
      </c>
      <c r="D18" s="154"/>
      <c r="E18" s="154"/>
      <c r="F18" s="68"/>
      <c r="G18" s="69">
        <v>2.75786</v>
      </c>
      <c r="H18" s="68"/>
      <c r="I18" s="68"/>
      <c r="J18" s="68"/>
      <c r="K18" s="68"/>
      <c r="L18" s="68"/>
    </row>
    <row r="19" spans="1:62" ht="12.75">
      <c r="A19" s="17" t="s">
        <v>75</v>
      </c>
      <c r="B19" s="17" t="s">
        <v>102</v>
      </c>
      <c r="C19" s="89" t="s">
        <v>145</v>
      </c>
      <c r="D19" s="152"/>
      <c r="E19" s="152"/>
      <c r="F19" s="17" t="s">
        <v>236</v>
      </c>
      <c r="G19" s="59">
        <v>428.48</v>
      </c>
      <c r="H19" s="59">
        <v>0</v>
      </c>
      <c r="I19" s="59">
        <f>G19*AO19</f>
        <v>0</v>
      </c>
      <c r="J19" s="59">
        <f>G19*AP19</f>
        <v>0</v>
      </c>
      <c r="K19" s="59">
        <f>G19*H19</f>
        <v>0</v>
      </c>
      <c r="L19" s="60" t="s">
        <v>255</v>
      </c>
      <c r="Z19" s="59">
        <f>IF(AQ19="5",BJ19,0)</f>
        <v>0</v>
      </c>
      <c r="AB19" s="59">
        <f>IF(AQ19="1",BH19,0)</f>
        <v>0</v>
      </c>
      <c r="AC19" s="59">
        <f>IF(AQ19="1",BI19,0)</f>
        <v>0</v>
      </c>
      <c r="AD19" s="59">
        <f>IF(AQ19="7",BH19,0)</f>
        <v>0</v>
      </c>
      <c r="AE19" s="59">
        <f>IF(AQ19="7",BI19,0)</f>
        <v>0</v>
      </c>
      <c r="AF19" s="59">
        <f>IF(AQ19="2",BH19,0)</f>
        <v>0</v>
      </c>
      <c r="AG19" s="59">
        <f>IF(AQ19="2",BI19,0)</f>
        <v>0</v>
      </c>
      <c r="AH19" s="59">
        <f>IF(AQ19="0",BJ19,0)</f>
        <v>0</v>
      </c>
      <c r="AI19" s="55"/>
      <c r="AJ19" s="43">
        <f>IF(AN19=0,K19,0)</f>
        <v>0</v>
      </c>
      <c r="AK19" s="43">
        <f>IF(AN19=15,K19,0)</f>
        <v>0</v>
      </c>
      <c r="AL19" s="43">
        <f>IF(AN19=21,K19,0)</f>
        <v>0</v>
      </c>
      <c r="AN19" s="59">
        <v>21</v>
      </c>
      <c r="AO19" s="59">
        <f>H19*0.278048727730179</f>
        <v>0</v>
      </c>
      <c r="AP19" s="59">
        <f>H19*(1-0.278048727730179)</f>
        <v>0</v>
      </c>
      <c r="AQ19" s="56" t="s">
        <v>74</v>
      </c>
      <c r="AV19" s="59">
        <f>AW19+AX19</f>
        <v>0</v>
      </c>
      <c r="AW19" s="59">
        <f>G19*AO19</f>
        <v>0</v>
      </c>
      <c r="AX19" s="59">
        <f>G19*AP19</f>
        <v>0</v>
      </c>
      <c r="AY19" s="60" t="s">
        <v>266</v>
      </c>
      <c r="AZ19" s="60" t="s">
        <v>276</v>
      </c>
      <c r="BA19" s="55" t="s">
        <v>281</v>
      </c>
      <c r="BC19" s="59">
        <f>AW19+AX19</f>
        <v>0</v>
      </c>
      <c r="BD19" s="59">
        <f>H19/(100-BE19)*100</f>
        <v>0</v>
      </c>
      <c r="BE19" s="59">
        <v>0</v>
      </c>
      <c r="BF19" s="59">
        <f>19</f>
        <v>19</v>
      </c>
      <c r="BH19" s="43">
        <f>G19*AO19</f>
        <v>0</v>
      </c>
      <c r="BI19" s="43">
        <f>G19*AP19</f>
        <v>0</v>
      </c>
      <c r="BJ19" s="43">
        <f>G19*H19</f>
        <v>0</v>
      </c>
    </row>
    <row r="20" spans="1:12" ht="12.75">
      <c r="A20" s="68"/>
      <c r="B20" s="68"/>
      <c r="C20" s="153" t="s">
        <v>146</v>
      </c>
      <c r="D20" s="154"/>
      <c r="E20" s="154"/>
      <c r="F20" s="68"/>
      <c r="G20" s="69"/>
      <c r="H20" s="68"/>
      <c r="I20" s="68"/>
      <c r="J20" s="68"/>
      <c r="K20" s="68"/>
      <c r="L20" s="68"/>
    </row>
    <row r="21" spans="1:12" ht="12.75">
      <c r="A21" s="68"/>
      <c r="B21" s="68"/>
      <c r="C21" s="153" t="s">
        <v>147</v>
      </c>
      <c r="D21" s="154"/>
      <c r="E21" s="154"/>
      <c r="F21" s="68"/>
      <c r="G21" s="69">
        <v>404.48</v>
      </c>
      <c r="H21" s="68"/>
      <c r="I21" s="68"/>
      <c r="J21" s="68"/>
      <c r="K21" s="68"/>
      <c r="L21" s="68"/>
    </row>
    <row r="22" spans="1:12" ht="12.75">
      <c r="A22" s="68"/>
      <c r="B22" s="68"/>
      <c r="C22" s="153" t="s">
        <v>148</v>
      </c>
      <c r="D22" s="154"/>
      <c r="E22" s="154"/>
      <c r="F22" s="68"/>
      <c r="G22" s="69"/>
      <c r="H22" s="68"/>
      <c r="I22" s="68"/>
      <c r="J22" s="68"/>
      <c r="K22" s="68"/>
      <c r="L22" s="68"/>
    </row>
    <row r="23" spans="1:12" ht="12.75">
      <c r="A23" s="68"/>
      <c r="B23" s="68"/>
      <c r="C23" s="153" t="s">
        <v>149</v>
      </c>
      <c r="D23" s="154"/>
      <c r="E23" s="154"/>
      <c r="F23" s="68"/>
      <c r="G23" s="69">
        <v>24</v>
      </c>
      <c r="H23" s="68"/>
      <c r="I23" s="68"/>
      <c r="J23" s="68"/>
      <c r="K23" s="68"/>
      <c r="L23" s="68"/>
    </row>
    <row r="24" spans="1:62" ht="12.75">
      <c r="A24" s="17" t="s">
        <v>76</v>
      </c>
      <c r="B24" s="17" t="s">
        <v>103</v>
      </c>
      <c r="C24" s="89" t="s">
        <v>150</v>
      </c>
      <c r="D24" s="152"/>
      <c r="E24" s="152"/>
      <c r="F24" s="17" t="s">
        <v>237</v>
      </c>
      <c r="G24" s="59">
        <v>110.3145</v>
      </c>
      <c r="H24" s="59">
        <v>0</v>
      </c>
      <c r="I24" s="59">
        <f>G24*AO24</f>
        <v>0</v>
      </c>
      <c r="J24" s="59">
        <f>G24*AP24</f>
        <v>0</v>
      </c>
      <c r="K24" s="59">
        <f>G24*H24</f>
        <v>0</v>
      </c>
      <c r="L24" s="60" t="s">
        <v>255</v>
      </c>
      <c r="Z24" s="59">
        <f>IF(AQ24="5",BJ24,0)</f>
        <v>0</v>
      </c>
      <c r="AB24" s="59">
        <f>IF(AQ24="1",BH24,0)</f>
        <v>0</v>
      </c>
      <c r="AC24" s="59">
        <f>IF(AQ24="1",BI24,0)</f>
        <v>0</v>
      </c>
      <c r="AD24" s="59">
        <f>IF(AQ24="7",BH24,0)</f>
        <v>0</v>
      </c>
      <c r="AE24" s="59">
        <f>IF(AQ24="7",BI24,0)</f>
        <v>0</v>
      </c>
      <c r="AF24" s="59">
        <f>IF(AQ24="2",BH24,0)</f>
        <v>0</v>
      </c>
      <c r="AG24" s="59">
        <f>IF(AQ24="2",BI24,0)</f>
        <v>0</v>
      </c>
      <c r="AH24" s="59">
        <f>IF(AQ24="0",BJ24,0)</f>
        <v>0</v>
      </c>
      <c r="AI24" s="55"/>
      <c r="AJ24" s="43">
        <f>IF(AN24=0,K24,0)</f>
        <v>0</v>
      </c>
      <c r="AK24" s="43">
        <f>IF(AN24=15,K24,0)</f>
        <v>0</v>
      </c>
      <c r="AL24" s="43">
        <f>IF(AN24=21,K24,0)</f>
        <v>0</v>
      </c>
      <c r="AN24" s="59">
        <v>21</v>
      </c>
      <c r="AO24" s="59">
        <f>H24*0.768307120593231</f>
        <v>0</v>
      </c>
      <c r="AP24" s="59">
        <f>H24*(1-0.768307120593231)</f>
        <v>0</v>
      </c>
      <c r="AQ24" s="56" t="s">
        <v>74</v>
      </c>
      <c r="AV24" s="59">
        <f>AW24+AX24</f>
        <v>0</v>
      </c>
      <c r="AW24" s="59">
        <f>G24*AO24</f>
        <v>0</v>
      </c>
      <c r="AX24" s="59">
        <f>G24*AP24</f>
        <v>0</v>
      </c>
      <c r="AY24" s="60" t="s">
        <v>266</v>
      </c>
      <c r="AZ24" s="60" t="s">
        <v>276</v>
      </c>
      <c r="BA24" s="55" t="s">
        <v>281</v>
      </c>
      <c r="BC24" s="59">
        <f>AW24+AX24</f>
        <v>0</v>
      </c>
      <c r="BD24" s="59">
        <f>H24/(100-BE24)*100</f>
        <v>0</v>
      </c>
      <c r="BE24" s="59">
        <v>0</v>
      </c>
      <c r="BF24" s="59">
        <f>24</f>
        <v>24</v>
      </c>
      <c r="BH24" s="43">
        <f>G24*AO24</f>
        <v>0</v>
      </c>
      <c r="BI24" s="43">
        <f>G24*AP24</f>
        <v>0</v>
      </c>
      <c r="BJ24" s="43">
        <f>G24*H24</f>
        <v>0</v>
      </c>
    </row>
    <row r="25" spans="1:12" ht="12.75">
      <c r="A25" s="68"/>
      <c r="B25" s="68"/>
      <c r="C25" s="153" t="s">
        <v>151</v>
      </c>
      <c r="D25" s="154"/>
      <c r="E25" s="154"/>
      <c r="F25" s="68"/>
      <c r="G25" s="69"/>
      <c r="H25" s="68"/>
      <c r="I25" s="68"/>
      <c r="J25" s="68"/>
      <c r="K25" s="68"/>
      <c r="L25" s="68"/>
    </row>
    <row r="26" spans="1:12" ht="12.75">
      <c r="A26" s="68"/>
      <c r="B26" s="68"/>
      <c r="C26" s="153" t="s">
        <v>152</v>
      </c>
      <c r="D26" s="154"/>
      <c r="E26" s="154"/>
      <c r="F26" s="68"/>
      <c r="G26" s="69"/>
      <c r="H26" s="68"/>
      <c r="I26" s="68"/>
      <c r="J26" s="68"/>
      <c r="K26" s="68"/>
      <c r="L26" s="68"/>
    </row>
    <row r="27" spans="1:12" ht="12.75">
      <c r="A27" s="68"/>
      <c r="B27" s="68"/>
      <c r="C27" s="153" t="s">
        <v>153</v>
      </c>
      <c r="D27" s="154"/>
      <c r="E27" s="154"/>
      <c r="F27" s="68"/>
      <c r="G27" s="69">
        <v>110.3145</v>
      </c>
      <c r="H27" s="68"/>
      <c r="I27" s="68"/>
      <c r="J27" s="68"/>
      <c r="K27" s="68"/>
      <c r="L27" s="68"/>
    </row>
    <row r="28" spans="1:62" ht="12.75">
      <c r="A28" s="17" t="s">
        <v>77</v>
      </c>
      <c r="B28" s="17" t="s">
        <v>104</v>
      </c>
      <c r="C28" s="89" t="s">
        <v>154</v>
      </c>
      <c r="D28" s="152"/>
      <c r="E28" s="152"/>
      <c r="F28" s="17" t="s">
        <v>238</v>
      </c>
      <c r="G28" s="59">
        <v>17.52</v>
      </c>
      <c r="H28" s="59">
        <v>0</v>
      </c>
      <c r="I28" s="59">
        <f>G28*AO28</f>
        <v>0</v>
      </c>
      <c r="J28" s="59">
        <f>G28*AP28</f>
        <v>0</v>
      </c>
      <c r="K28" s="59">
        <f>G28*H28</f>
        <v>0</v>
      </c>
      <c r="L28" s="60" t="s">
        <v>255</v>
      </c>
      <c r="Z28" s="59">
        <f>IF(AQ28="5",BJ28,0)</f>
        <v>0</v>
      </c>
      <c r="AB28" s="59">
        <f>IF(AQ28="1",BH28,0)</f>
        <v>0</v>
      </c>
      <c r="AC28" s="59">
        <f>IF(AQ28="1",BI28,0)</f>
        <v>0</v>
      </c>
      <c r="AD28" s="59">
        <f>IF(AQ28="7",BH28,0)</f>
        <v>0</v>
      </c>
      <c r="AE28" s="59">
        <f>IF(AQ28="7",BI28,0)</f>
        <v>0</v>
      </c>
      <c r="AF28" s="59">
        <f>IF(AQ28="2",BH28,0)</f>
        <v>0</v>
      </c>
      <c r="AG28" s="59">
        <f>IF(AQ28="2",BI28,0)</f>
        <v>0</v>
      </c>
      <c r="AH28" s="59">
        <f>IF(AQ28="0",BJ28,0)</f>
        <v>0</v>
      </c>
      <c r="AI28" s="55"/>
      <c r="AJ28" s="43">
        <f>IF(AN28=0,K28,0)</f>
        <v>0</v>
      </c>
      <c r="AK28" s="43">
        <f>IF(AN28=15,K28,0)</f>
        <v>0</v>
      </c>
      <c r="AL28" s="43">
        <f>IF(AN28=21,K28,0)</f>
        <v>0</v>
      </c>
      <c r="AN28" s="59">
        <v>21</v>
      </c>
      <c r="AO28" s="59">
        <f>H28*0.633754208754209</f>
        <v>0</v>
      </c>
      <c r="AP28" s="59">
        <f>H28*(1-0.633754208754209)</f>
        <v>0</v>
      </c>
      <c r="AQ28" s="56" t="s">
        <v>74</v>
      </c>
      <c r="AV28" s="59">
        <f>AW28+AX28</f>
        <v>0</v>
      </c>
      <c r="AW28" s="59">
        <f>G28*AO28</f>
        <v>0</v>
      </c>
      <c r="AX28" s="59">
        <f>G28*AP28</f>
        <v>0</v>
      </c>
      <c r="AY28" s="60" t="s">
        <v>266</v>
      </c>
      <c r="AZ28" s="60" t="s">
        <v>276</v>
      </c>
      <c r="BA28" s="55" t="s">
        <v>281</v>
      </c>
      <c r="BC28" s="59">
        <f>AW28+AX28</f>
        <v>0</v>
      </c>
      <c r="BD28" s="59">
        <f>H28/(100-BE28)*100</f>
        <v>0</v>
      </c>
      <c r="BE28" s="59">
        <v>0</v>
      </c>
      <c r="BF28" s="59">
        <f>28</f>
        <v>28</v>
      </c>
      <c r="BH28" s="43">
        <f>G28*AO28</f>
        <v>0</v>
      </c>
      <c r="BI28" s="43">
        <f>G28*AP28</f>
        <v>0</v>
      </c>
      <c r="BJ28" s="43">
        <f>G28*H28</f>
        <v>0</v>
      </c>
    </row>
    <row r="29" spans="1:12" ht="12.75">
      <c r="A29" s="68"/>
      <c r="B29" s="68"/>
      <c r="C29" s="153" t="s">
        <v>155</v>
      </c>
      <c r="D29" s="154"/>
      <c r="E29" s="154"/>
      <c r="F29" s="68"/>
      <c r="G29" s="69"/>
      <c r="H29" s="68"/>
      <c r="I29" s="68"/>
      <c r="J29" s="68"/>
      <c r="K29" s="68"/>
      <c r="L29" s="68"/>
    </row>
    <row r="30" spans="1:12" ht="12.75">
      <c r="A30" s="68"/>
      <c r="B30" s="68"/>
      <c r="C30" s="153" t="s">
        <v>156</v>
      </c>
      <c r="D30" s="154"/>
      <c r="E30" s="154"/>
      <c r="F30" s="68"/>
      <c r="G30" s="69">
        <v>17.52</v>
      </c>
      <c r="H30" s="68"/>
      <c r="I30" s="68"/>
      <c r="J30" s="68"/>
      <c r="K30" s="68"/>
      <c r="L30" s="68"/>
    </row>
    <row r="31" spans="1:62" ht="12.75">
      <c r="A31" s="17" t="s">
        <v>78</v>
      </c>
      <c r="B31" s="17" t="s">
        <v>105</v>
      </c>
      <c r="C31" s="89" t="s">
        <v>157</v>
      </c>
      <c r="D31" s="152"/>
      <c r="E31" s="152"/>
      <c r="F31" s="17" t="s">
        <v>238</v>
      </c>
      <c r="G31" s="59">
        <v>17.52</v>
      </c>
      <c r="H31" s="59">
        <v>0</v>
      </c>
      <c r="I31" s="59">
        <f>G31*AO31</f>
        <v>0</v>
      </c>
      <c r="J31" s="59">
        <f>G31*AP31</f>
        <v>0</v>
      </c>
      <c r="K31" s="59">
        <f>G31*H31</f>
        <v>0</v>
      </c>
      <c r="L31" s="60" t="s">
        <v>255</v>
      </c>
      <c r="Z31" s="59">
        <f>IF(AQ31="5",BJ31,0)</f>
        <v>0</v>
      </c>
      <c r="AB31" s="59">
        <f>IF(AQ31="1",BH31,0)</f>
        <v>0</v>
      </c>
      <c r="AC31" s="59">
        <f>IF(AQ31="1",BI31,0)</f>
        <v>0</v>
      </c>
      <c r="AD31" s="59">
        <f>IF(AQ31="7",BH31,0)</f>
        <v>0</v>
      </c>
      <c r="AE31" s="59">
        <f>IF(AQ31="7",BI31,0)</f>
        <v>0</v>
      </c>
      <c r="AF31" s="59">
        <f>IF(AQ31="2",BH31,0)</f>
        <v>0</v>
      </c>
      <c r="AG31" s="59">
        <f>IF(AQ31="2",BI31,0)</f>
        <v>0</v>
      </c>
      <c r="AH31" s="59">
        <f>IF(AQ31="0",BJ31,0)</f>
        <v>0</v>
      </c>
      <c r="AI31" s="55"/>
      <c r="AJ31" s="43">
        <f>IF(AN31=0,K31,0)</f>
        <v>0</v>
      </c>
      <c r="AK31" s="43">
        <f>IF(AN31=15,K31,0)</f>
        <v>0</v>
      </c>
      <c r="AL31" s="43">
        <f>IF(AN31=21,K31,0)</f>
        <v>0</v>
      </c>
      <c r="AN31" s="59">
        <v>21</v>
      </c>
      <c r="AO31" s="59">
        <f>H31*0.590072255184163</f>
        <v>0</v>
      </c>
      <c r="AP31" s="59">
        <f>H31*(1-0.590072255184163)</f>
        <v>0</v>
      </c>
      <c r="AQ31" s="56" t="s">
        <v>74</v>
      </c>
      <c r="AV31" s="59">
        <f>AW31+AX31</f>
        <v>0</v>
      </c>
      <c r="AW31" s="59">
        <f>G31*AO31</f>
        <v>0</v>
      </c>
      <c r="AX31" s="59">
        <f>G31*AP31</f>
        <v>0</v>
      </c>
      <c r="AY31" s="60" t="s">
        <v>266</v>
      </c>
      <c r="AZ31" s="60" t="s">
        <v>276</v>
      </c>
      <c r="BA31" s="55" t="s">
        <v>281</v>
      </c>
      <c r="BC31" s="59">
        <f>AW31+AX31</f>
        <v>0</v>
      </c>
      <c r="BD31" s="59">
        <f>H31/(100-BE31)*100</f>
        <v>0</v>
      </c>
      <c r="BE31" s="59">
        <v>0</v>
      </c>
      <c r="BF31" s="59">
        <f>31</f>
        <v>31</v>
      </c>
      <c r="BH31" s="43">
        <f>G31*AO31</f>
        <v>0</v>
      </c>
      <c r="BI31" s="43">
        <f>G31*AP31</f>
        <v>0</v>
      </c>
      <c r="BJ31" s="43">
        <f>G31*H31</f>
        <v>0</v>
      </c>
    </row>
    <row r="32" spans="1:62" ht="12.75">
      <c r="A32" s="17" t="s">
        <v>79</v>
      </c>
      <c r="B32" s="17" t="s">
        <v>106</v>
      </c>
      <c r="C32" s="89" t="s">
        <v>158</v>
      </c>
      <c r="D32" s="152"/>
      <c r="E32" s="152"/>
      <c r="F32" s="17" t="s">
        <v>237</v>
      </c>
      <c r="G32" s="59">
        <v>2.4345</v>
      </c>
      <c r="H32" s="59">
        <v>0</v>
      </c>
      <c r="I32" s="59">
        <f>G32*AO32</f>
        <v>0</v>
      </c>
      <c r="J32" s="59">
        <f>G32*AP32</f>
        <v>0</v>
      </c>
      <c r="K32" s="59">
        <f>G32*H32</f>
        <v>0</v>
      </c>
      <c r="L32" s="60" t="s">
        <v>255</v>
      </c>
      <c r="Z32" s="59">
        <f>IF(AQ32="5",BJ32,0)</f>
        <v>0</v>
      </c>
      <c r="AB32" s="59">
        <f>IF(AQ32="1",BH32,0)</f>
        <v>0</v>
      </c>
      <c r="AC32" s="59">
        <f>IF(AQ32="1",BI32,0)</f>
        <v>0</v>
      </c>
      <c r="AD32" s="59">
        <f>IF(AQ32="7",BH32,0)</f>
        <v>0</v>
      </c>
      <c r="AE32" s="59">
        <f>IF(AQ32="7",BI32,0)</f>
        <v>0</v>
      </c>
      <c r="AF32" s="59">
        <f>IF(AQ32="2",BH32,0)</f>
        <v>0</v>
      </c>
      <c r="AG32" s="59">
        <f>IF(AQ32="2",BI32,0)</f>
        <v>0</v>
      </c>
      <c r="AH32" s="59">
        <f>IF(AQ32="0",BJ32,0)</f>
        <v>0</v>
      </c>
      <c r="AI32" s="55"/>
      <c r="AJ32" s="43">
        <f>IF(AN32=0,K32,0)</f>
        <v>0</v>
      </c>
      <c r="AK32" s="43">
        <f>IF(AN32=15,K32,0)</f>
        <v>0</v>
      </c>
      <c r="AL32" s="43">
        <f>IF(AN32=21,K32,0)</f>
        <v>0</v>
      </c>
      <c r="AN32" s="59">
        <v>21</v>
      </c>
      <c r="AO32" s="59">
        <f>H32*0.617652046783626</f>
        <v>0</v>
      </c>
      <c r="AP32" s="59">
        <f>H32*(1-0.617652046783626)</f>
        <v>0</v>
      </c>
      <c r="AQ32" s="56" t="s">
        <v>74</v>
      </c>
      <c r="AV32" s="59">
        <f>AW32+AX32</f>
        <v>0</v>
      </c>
      <c r="AW32" s="59">
        <f>G32*AO32</f>
        <v>0</v>
      </c>
      <c r="AX32" s="59">
        <f>G32*AP32</f>
        <v>0</v>
      </c>
      <c r="AY32" s="60" t="s">
        <v>266</v>
      </c>
      <c r="AZ32" s="60" t="s">
        <v>276</v>
      </c>
      <c r="BA32" s="55" t="s">
        <v>281</v>
      </c>
      <c r="BC32" s="59">
        <f>AW32+AX32</f>
        <v>0</v>
      </c>
      <c r="BD32" s="59">
        <f>H32/(100-BE32)*100</f>
        <v>0</v>
      </c>
      <c r="BE32" s="59">
        <v>0</v>
      </c>
      <c r="BF32" s="59">
        <f>32</f>
        <v>32</v>
      </c>
      <c r="BH32" s="43">
        <f>G32*AO32</f>
        <v>0</v>
      </c>
      <c r="BI32" s="43">
        <f>G32*AP32</f>
        <v>0</v>
      </c>
      <c r="BJ32" s="43">
        <f>G32*H32</f>
        <v>0</v>
      </c>
    </row>
    <row r="33" spans="1:12" ht="12.75">
      <c r="A33" s="68"/>
      <c r="B33" s="68"/>
      <c r="C33" s="153" t="s">
        <v>159</v>
      </c>
      <c r="D33" s="154"/>
      <c r="E33" s="154"/>
      <c r="F33" s="68"/>
      <c r="G33" s="69"/>
      <c r="H33" s="68"/>
      <c r="I33" s="68"/>
      <c r="J33" s="68"/>
      <c r="K33" s="68"/>
      <c r="L33" s="68"/>
    </row>
    <row r="34" spans="1:12" ht="12.75">
      <c r="A34" s="68"/>
      <c r="B34" s="68"/>
      <c r="C34" s="153" t="s">
        <v>160</v>
      </c>
      <c r="D34" s="154"/>
      <c r="E34" s="154"/>
      <c r="F34" s="68"/>
      <c r="G34" s="69">
        <v>0.6525</v>
      </c>
      <c r="H34" s="68"/>
      <c r="I34" s="68"/>
      <c r="J34" s="68"/>
      <c r="K34" s="68"/>
      <c r="L34" s="68"/>
    </row>
    <row r="35" spans="1:12" ht="12.75">
      <c r="A35" s="68"/>
      <c r="B35" s="68"/>
      <c r="C35" s="153" t="s">
        <v>161</v>
      </c>
      <c r="D35" s="154"/>
      <c r="E35" s="154"/>
      <c r="F35" s="68"/>
      <c r="G35" s="69"/>
      <c r="H35" s="68"/>
      <c r="I35" s="68"/>
      <c r="J35" s="68"/>
      <c r="K35" s="68"/>
      <c r="L35" s="68"/>
    </row>
    <row r="36" spans="1:12" ht="12.75">
      <c r="A36" s="68"/>
      <c r="B36" s="68"/>
      <c r="C36" s="153" t="s">
        <v>162</v>
      </c>
      <c r="D36" s="154"/>
      <c r="E36" s="154"/>
      <c r="F36" s="68"/>
      <c r="G36" s="69">
        <v>1.782</v>
      </c>
      <c r="H36" s="68"/>
      <c r="I36" s="68"/>
      <c r="J36" s="68"/>
      <c r="K36" s="68"/>
      <c r="L36" s="68"/>
    </row>
    <row r="37" spans="1:62" ht="12.75">
      <c r="A37" s="70" t="s">
        <v>80</v>
      </c>
      <c r="B37" s="70" t="s">
        <v>107</v>
      </c>
      <c r="C37" s="155" t="s">
        <v>163</v>
      </c>
      <c r="D37" s="152"/>
      <c r="E37" s="156"/>
      <c r="F37" s="70" t="s">
        <v>238</v>
      </c>
      <c r="G37" s="71">
        <v>752.95</v>
      </c>
      <c r="H37" s="71">
        <v>0</v>
      </c>
      <c r="I37" s="71">
        <f>G37*AO37</f>
        <v>0</v>
      </c>
      <c r="J37" s="71">
        <f>G37*AP37</f>
        <v>0</v>
      </c>
      <c r="K37" s="71">
        <f>G37*H37</f>
        <v>0</v>
      </c>
      <c r="L37" s="72" t="s">
        <v>255</v>
      </c>
      <c r="Z37" s="59">
        <f>IF(AQ37="5",BJ37,0)</f>
        <v>0</v>
      </c>
      <c r="AB37" s="59">
        <f>IF(AQ37="1",BH37,0)</f>
        <v>0</v>
      </c>
      <c r="AC37" s="59">
        <f>IF(AQ37="1",BI37,0)</f>
        <v>0</v>
      </c>
      <c r="AD37" s="59">
        <f>IF(AQ37="7",BH37,0)</f>
        <v>0</v>
      </c>
      <c r="AE37" s="59">
        <f>IF(AQ37="7",BI37,0)</f>
        <v>0</v>
      </c>
      <c r="AF37" s="59">
        <f>IF(AQ37="2",BH37,0)</f>
        <v>0</v>
      </c>
      <c r="AG37" s="59">
        <f>IF(AQ37="2",BI37,0)</f>
        <v>0</v>
      </c>
      <c r="AH37" s="59">
        <f>IF(AQ37="0",BJ37,0)</f>
        <v>0</v>
      </c>
      <c r="AI37" s="55"/>
      <c r="AJ37" s="43">
        <f>IF(AN37=0,K37,0)</f>
        <v>0</v>
      </c>
      <c r="AK37" s="43">
        <f>IF(AN37=15,K37,0)</f>
        <v>0</v>
      </c>
      <c r="AL37" s="43">
        <f>IF(AN37=21,K37,0)</f>
        <v>0</v>
      </c>
      <c r="AN37" s="59">
        <v>21</v>
      </c>
      <c r="AO37" s="59">
        <f>H37*0.292614264304432</f>
        <v>0</v>
      </c>
      <c r="AP37" s="59">
        <f>H37*(1-0.292614264304432)</f>
        <v>0</v>
      </c>
      <c r="AQ37" s="56" t="s">
        <v>74</v>
      </c>
      <c r="AV37" s="59">
        <f>AW37+AX37</f>
        <v>0</v>
      </c>
      <c r="AW37" s="59">
        <f>G37*AO37</f>
        <v>0</v>
      </c>
      <c r="AX37" s="59">
        <f>G37*AP37</f>
        <v>0</v>
      </c>
      <c r="AY37" s="60" t="s">
        <v>266</v>
      </c>
      <c r="AZ37" s="60" t="s">
        <v>276</v>
      </c>
      <c r="BA37" s="55" t="s">
        <v>281</v>
      </c>
      <c r="BC37" s="59">
        <f>AW37+AX37</f>
        <v>0</v>
      </c>
      <c r="BD37" s="59">
        <f>H37/(100-BE37)*100</f>
        <v>0</v>
      </c>
      <c r="BE37" s="59">
        <v>0</v>
      </c>
      <c r="BF37" s="59">
        <f>37</f>
        <v>37</v>
      </c>
      <c r="BH37" s="43">
        <f>G37*AO37</f>
        <v>0</v>
      </c>
      <c r="BI37" s="43">
        <f>G37*AP37</f>
        <v>0</v>
      </c>
      <c r="BJ37" s="43">
        <f>G37*H37</f>
        <v>0</v>
      </c>
    </row>
    <row r="38" spans="1:47" ht="12.75">
      <c r="A38" s="64"/>
      <c r="B38" s="65" t="s">
        <v>108</v>
      </c>
      <c r="C38" s="150" t="s">
        <v>164</v>
      </c>
      <c r="D38" s="151"/>
      <c r="E38" s="151"/>
      <c r="F38" s="64" t="s">
        <v>73</v>
      </c>
      <c r="G38" s="64" t="s">
        <v>73</v>
      </c>
      <c r="H38" s="64" t="s">
        <v>73</v>
      </c>
      <c r="I38" s="66">
        <f>SUM(I39:I41)</f>
        <v>0</v>
      </c>
      <c r="J38" s="66">
        <f>SUM(J39:J41)</f>
        <v>0</v>
      </c>
      <c r="K38" s="66">
        <f>SUM(K39:K41)</f>
        <v>0</v>
      </c>
      <c r="L38" s="67"/>
      <c r="AI38" s="55"/>
      <c r="AS38" s="62">
        <f>SUM(AJ39:AJ41)</f>
        <v>0</v>
      </c>
      <c r="AT38" s="62">
        <f>SUM(AK39:AK41)</f>
        <v>0</v>
      </c>
      <c r="AU38" s="62">
        <f>SUM(AL39:AL41)</f>
        <v>0</v>
      </c>
    </row>
    <row r="39" spans="1:62" ht="12.75">
      <c r="A39" s="17" t="s">
        <v>81</v>
      </c>
      <c r="B39" s="17" t="s">
        <v>109</v>
      </c>
      <c r="C39" s="89" t="s">
        <v>165</v>
      </c>
      <c r="D39" s="152"/>
      <c r="E39" s="152"/>
      <c r="F39" s="17" t="s">
        <v>238</v>
      </c>
      <c r="G39" s="59">
        <v>752.95</v>
      </c>
      <c r="H39" s="59">
        <v>0</v>
      </c>
      <c r="I39" s="59">
        <f>G39*AO39</f>
        <v>0</v>
      </c>
      <c r="J39" s="59">
        <f>G39*AP39</f>
        <v>0</v>
      </c>
      <c r="K39" s="59">
        <f>G39*H39</f>
        <v>0</v>
      </c>
      <c r="L39" s="60" t="s">
        <v>255</v>
      </c>
      <c r="Z39" s="59">
        <f>IF(AQ39="5",BJ39,0)</f>
        <v>0</v>
      </c>
      <c r="AB39" s="59">
        <f>IF(AQ39="1",BH39,0)</f>
        <v>0</v>
      </c>
      <c r="AC39" s="59">
        <f>IF(AQ39="1",BI39,0)</f>
        <v>0</v>
      </c>
      <c r="AD39" s="59">
        <f>IF(AQ39="7",BH39,0)</f>
        <v>0</v>
      </c>
      <c r="AE39" s="59">
        <f>IF(AQ39="7",BI39,0)</f>
        <v>0</v>
      </c>
      <c r="AF39" s="59">
        <f>IF(AQ39="2",BH39,0)</f>
        <v>0</v>
      </c>
      <c r="AG39" s="59">
        <f>IF(AQ39="2",BI39,0)</f>
        <v>0</v>
      </c>
      <c r="AH39" s="59">
        <f>IF(AQ39="0",BJ39,0)</f>
        <v>0</v>
      </c>
      <c r="AI39" s="55"/>
      <c r="AJ39" s="43">
        <f>IF(AN39=0,K39,0)</f>
        <v>0</v>
      </c>
      <c r="AK39" s="43">
        <f>IF(AN39=15,K39,0)</f>
        <v>0</v>
      </c>
      <c r="AL39" s="43">
        <f>IF(AN39=21,K39,0)</f>
        <v>0</v>
      </c>
      <c r="AN39" s="59">
        <v>21</v>
      </c>
      <c r="AO39" s="59">
        <f>H39*0.155853658536585</f>
        <v>0</v>
      </c>
      <c r="AP39" s="59">
        <f>H39*(1-0.155853658536585)</f>
        <v>0</v>
      </c>
      <c r="AQ39" s="56" t="s">
        <v>80</v>
      </c>
      <c r="AV39" s="59">
        <f>AW39+AX39</f>
        <v>0</v>
      </c>
      <c r="AW39" s="59">
        <f>G39*AO39</f>
        <v>0</v>
      </c>
      <c r="AX39" s="59">
        <f>G39*AP39</f>
        <v>0</v>
      </c>
      <c r="AY39" s="60" t="s">
        <v>267</v>
      </c>
      <c r="AZ39" s="60" t="s">
        <v>277</v>
      </c>
      <c r="BA39" s="55" t="s">
        <v>281</v>
      </c>
      <c r="BC39" s="59">
        <f>AW39+AX39</f>
        <v>0</v>
      </c>
      <c r="BD39" s="59">
        <f>H39/(100-BE39)*100</f>
        <v>0</v>
      </c>
      <c r="BE39" s="59">
        <v>0</v>
      </c>
      <c r="BF39" s="59">
        <f>39</f>
        <v>39</v>
      </c>
      <c r="BH39" s="43">
        <f>G39*AO39</f>
        <v>0</v>
      </c>
      <c r="BI39" s="43">
        <f>G39*AP39</f>
        <v>0</v>
      </c>
      <c r="BJ39" s="43">
        <f>G39*H39</f>
        <v>0</v>
      </c>
    </row>
    <row r="40" spans="1:12" ht="12.75">
      <c r="A40" s="68"/>
      <c r="B40" s="68"/>
      <c r="C40" s="153" t="s">
        <v>166</v>
      </c>
      <c r="D40" s="154"/>
      <c r="E40" s="154"/>
      <c r="F40" s="68"/>
      <c r="G40" s="69">
        <v>752.95</v>
      </c>
      <c r="H40" s="68"/>
      <c r="I40" s="68"/>
      <c r="J40" s="68"/>
      <c r="K40" s="68"/>
      <c r="L40" s="68"/>
    </row>
    <row r="41" spans="1:62" ht="12.75">
      <c r="A41" s="17" t="s">
        <v>82</v>
      </c>
      <c r="B41" s="17" t="s">
        <v>110</v>
      </c>
      <c r="C41" s="89" t="s">
        <v>167</v>
      </c>
      <c r="D41" s="152"/>
      <c r="E41" s="152"/>
      <c r="F41" s="17" t="s">
        <v>236</v>
      </c>
      <c r="G41" s="59">
        <v>18.52</v>
      </c>
      <c r="H41" s="59">
        <v>0</v>
      </c>
      <c r="I41" s="59">
        <f>G41*AO41</f>
        <v>0</v>
      </c>
      <c r="J41" s="59">
        <f>G41*AP41</f>
        <v>0</v>
      </c>
      <c r="K41" s="59">
        <f>G41*H41</f>
        <v>0</v>
      </c>
      <c r="L41" s="60" t="s">
        <v>255</v>
      </c>
      <c r="Z41" s="59">
        <f>IF(AQ41="5",BJ41,0)</f>
        <v>0</v>
      </c>
      <c r="AB41" s="59">
        <f>IF(AQ41="1",BH41,0)</f>
        <v>0</v>
      </c>
      <c r="AC41" s="59">
        <f>IF(AQ41="1",BI41,0)</f>
        <v>0</v>
      </c>
      <c r="AD41" s="59">
        <f>IF(AQ41="7",BH41,0)</f>
        <v>0</v>
      </c>
      <c r="AE41" s="59">
        <f>IF(AQ41="7",BI41,0)</f>
        <v>0</v>
      </c>
      <c r="AF41" s="59">
        <f>IF(AQ41="2",BH41,0)</f>
        <v>0</v>
      </c>
      <c r="AG41" s="59">
        <f>IF(AQ41="2",BI41,0)</f>
        <v>0</v>
      </c>
      <c r="AH41" s="59">
        <f>IF(AQ41="0",BJ41,0)</f>
        <v>0</v>
      </c>
      <c r="AI41" s="55"/>
      <c r="AJ41" s="43">
        <f>IF(AN41=0,K41,0)</f>
        <v>0</v>
      </c>
      <c r="AK41" s="43">
        <f>IF(AN41=15,K41,0)</f>
        <v>0</v>
      </c>
      <c r="AL41" s="43">
        <f>IF(AN41=21,K41,0)</f>
        <v>0</v>
      </c>
      <c r="AN41" s="59">
        <v>21</v>
      </c>
      <c r="AO41" s="59">
        <f>H41*0.0948710443037975</f>
        <v>0</v>
      </c>
      <c r="AP41" s="59">
        <f>H41*(1-0.0948710443037975)</f>
        <v>0</v>
      </c>
      <c r="AQ41" s="56" t="s">
        <v>80</v>
      </c>
      <c r="AV41" s="59">
        <f>AW41+AX41</f>
        <v>0</v>
      </c>
      <c r="AW41" s="59">
        <f>G41*AO41</f>
        <v>0</v>
      </c>
      <c r="AX41" s="59">
        <f>G41*AP41</f>
        <v>0</v>
      </c>
      <c r="AY41" s="60" t="s">
        <v>267</v>
      </c>
      <c r="AZ41" s="60" t="s">
        <v>277</v>
      </c>
      <c r="BA41" s="55" t="s">
        <v>281</v>
      </c>
      <c r="BC41" s="59">
        <f>AW41+AX41</f>
        <v>0</v>
      </c>
      <c r="BD41" s="59">
        <f>H41/(100-BE41)*100</f>
        <v>0</v>
      </c>
      <c r="BE41" s="59">
        <v>0</v>
      </c>
      <c r="BF41" s="59">
        <f>41</f>
        <v>41</v>
      </c>
      <c r="BH41" s="43">
        <f>G41*AO41</f>
        <v>0</v>
      </c>
      <c r="BI41" s="43">
        <f>G41*AP41</f>
        <v>0</v>
      </c>
      <c r="BJ41" s="43">
        <f>G41*H41</f>
        <v>0</v>
      </c>
    </row>
    <row r="42" spans="1:47" ht="12.75">
      <c r="A42" s="64"/>
      <c r="B42" s="65" t="s">
        <v>111</v>
      </c>
      <c r="C42" s="150" t="s">
        <v>168</v>
      </c>
      <c r="D42" s="151"/>
      <c r="E42" s="151"/>
      <c r="F42" s="64" t="s">
        <v>73</v>
      </c>
      <c r="G42" s="64" t="s">
        <v>73</v>
      </c>
      <c r="H42" s="64" t="s">
        <v>73</v>
      </c>
      <c r="I42" s="66">
        <f>SUM(I43:I49)</f>
        <v>0</v>
      </c>
      <c r="J42" s="66">
        <f>SUM(J43:J49)</f>
        <v>0</v>
      </c>
      <c r="K42" s="66">
        <f>SUM(K43:K49)</f>
        <v>0</v>
      </c>
      <c r="L42" s="67"/>
      <c r="AI42" s="55"/>
      <c r="AS42" s="62">
        <f>SUM(AJ43:AJ49)</f>
        <v>0</v>
      </c>
      <c r="AT42" s="62">
        <f>SUM(AK43:AK49)</f>
        <v>0</v>
      </c>
      <c r="AU42" s="62">
        <f>SUM(AL43:AL49)</f>
        <v>0</v>
      </c>
    </row>
    <row r="43" spans="1:62" ht="12.75">
      <c r="A43" s="17" t="s">
        <v>83</v>
      </c>
      <c r="B43" s="17" t="s">
        <v>112</v>
      </c>
      <c r="C43" s="89" t="s">
        <v>169</v>
      </c>
      <c r="D43" s="152"/>
      <c r="E43" s="152"/>
      <c r="F43" s="17" t="s">
        <v>239</v>
      </c>
      <c r="G43" s="59">
        <v>914.86875</v>
      </c>
      <c r="H43" s="59">
        <v>0</v>
      </c>
      <c r="I43" s="59">
        <f>G43*AO43</f>
        <v>0</v>
      </c>
      <c r="J43" s="59">
        <f>G43*AP43</f>
        <v>0</v>
      </c>
      <c r="K43" s="59">
        <f>G43*H43</f>
        <v>0</v>
      </c>
      <c r="L43" s="60" t="s">
        <v>255</v>
      </c>
      <c r="Z43" s="59">
        <f>IF(AQ43="5",BJ43,0)</f>
        <v>0</v>
      </c>
      <c r="AB43" s="59">
        <f>IF(AQ43="1",BH43,0)</f>
        <v>0</v>
      </c>
      <c r="AC43" s="59">
        <f>IF(AQ43="1",BI43,0)</f>
        <v>0</v>
      </c>
      <c r="AD43" s="59">
        <f>IF(AQ43="7",BH43,0)</f>
        <v>0</v>
      </c>
      <c r="AE43" s="59">
        <f>IF(AQ43="7",BI43,0)</f>
        <v>0</v>
      </c>
      <c r="AF43" s="59">
        <f>IF(AQ43="2",BH43,0)</f>
        <v>0</v>
      </c>
      <c r="AG43" s="59">
        <f>IF(AQ43="2",BI43,0)</f>
        <v>0</v>
      </c>
      <c r="AH43" s="59">
        <f>IF(AQ43="0",BJ43,0)</f>
        <v>0</v>
      </c>
      <c r="AI43" s="55"/>
      <c r="AJ43" s="43">
        <f>IF(AN43=0,K43,0)</f>
        <v>0</v>
      </c>
      <c r="AK43" s="43">
        <f>IF(AN43=15,K43,0)</f>
        <v>0</v>
      </c>
      <c r="AL43" s="43">
        <f>IF(AN43=21,K43,0)</f>
        <v>0</v>
      </c>
      <c r="AN43" s="59">
        <v>21</v>
      </c>
      <c r="AO43" s="59">
        <f>H43*0.177579051714568</f>
        <v>0</v>
      </c>
      <c r="AP43" s="59">
        <f>H43*(1-0.177579051714568)</f>
        <v>0</v>
      </c>
      <c r="AQ43" s="56" t="s">
        <v>80</v>
      </c>
      <c r="AV43" s="59">
        <f>AW43+AX43</f>
        <v>0</v>
      </c>
      <c r="AW43" s="59">
        <f>G43*AO43</f>
        <v>0</v>
      </c>
      <c r="AX43" s="59">
        <f>G43*AP43</f>
        <v>0</v>
      </c>
      <c r="AY43" s="60" t="s">
        <v>268</v>
      </c>
      <c r="AZ43" s="60" t="s">
        <v>278</v>
      </c>
      <c r="BA43" s="55" t="s">
        <v>281</v>
      </c>
      <c r="BC43" s="59">
        <f>AW43+AX43</f>
        <v>0</v>
      </c>
      <c r="BD43" s="59">
        <f>H43/(100-BE43)*100</f>
        <v>0</v>
      </c>
      <c r="BE43" s="59">
        <v>0</v>
      </c>
      <c r="BF43" s="59">
        <f>43</f>
        <v>43</v>
      </c>
      <c r="BH43" s="43">
        <f>G43*AO43</f>
        <v>0</v>
      </c>
      <c r="BI43" s="43">
        <f>G43*AP43</f>
        <v>0</v>
      </c>
      <c r="BJ43" s="43">
        <f>G43*H43</f>
        <v>0</v>
      </c>
    </row>
    <row r="44" spans="1:12" ht="12.75">
      <c r="A44" s="68"/>
      <c r="B44" s="68"/>
      <c r="C44" s="153" t="s">
        <v>170</v>
      </c>
      <c r="D44" s="154"/>
      <c r="E44" s="154"/>
      <c r="F44" s="68"/>
      <c r="G44" s="69"/>
      <c r="H44" s="68"/>
      <c r="I44" s="68"/>
      <c r="J44" s="68"/>
      <c r="K44" s="68"/>
      <c r="L44" s="68"/>
    </row>
    <row r="45" spans="1:12" ht="12.75">
      <c r="A45" s="68"/>
      <c r="B45" s="68"/>
      <c r="C45" s="153" t="s">
        <v>171</v>
      </c>
      <c r="D45" s="154"/>
      <c r="E45" s="154"/>
      <c r="F45" s="68"/>
      <c r="G45" s="69"/>
      <c r="H45" s="68"/>
      <c r="I45" s="68"/>
      <c r="J45" s="68"/>
      <c r="K45" s="68"/>
      <c r="L45" s="68"/>
    </row>
    <row r="46" spans="1:12" ht="12.75">
      <c r="A46" s="68"/>
      <c r="B46" s="68"/>
      <c r="C46" s="153" t="s">
        <v>172</v>
      </c>
      <c r="D46" s="154"/>
      <c r="E46" s="154"/>
      <c r="F46" s="68"/>
      <c r="G46" s="69">
        <v>637.2035</v>
      </c>
      <c r="H46" s="68"/>
      <c r="I46" s="68"/>
      <c r="J46" s="68"/>
      <c r="K46" s="68"/>
      <c r="L46" s="68"/>
    </row>
    <row r="47" spans="1:12" ht="12.75">
      <c r="A47" s="68"/>
      <c r="B47" s="68"/>
      <c r="C47" s="153" t="s">
        <v>173</v>
      </c>
      <c r="D47" s="154"/>
      <c r="E47" s="154"/>
      <c r="F47" s="68"/>
      <c r="G47" s="69">
        <v>206.3365</v>
      </c>
      <c r="H47" s="68"/>
      <c r="I47" s="68"/>
      <c r="J47" s="68"/>
      <c r="K47" s="68"/>
      <c r="L47" s="68"/>
    </row>
    <row r="48" spans="1:12" ht="12.75">
      <c r="A48" s="68"/>
      <c r="B48" s="68"/>
      <c r="C48" s="153" t="s">
        <v>174</v>
      </c>
      <c r="D48" s="154"/>
      <c r="E48" s="154"/>
      <c r="F48" s="68"/>
      <c r="G48" s="69">
        <v>71.32875</v>
      </c>
      <c r="H48" s="68"/>
      <c r="I48" s="68"/>
      <c r="J48" s="68"/>
      <c r="K48" s="68"/>
      <c r="L48" s="68"/>
    </row>
    <row r="49" spans="1:62" ht="12.75">
      <c r="A49" s="17" t="s">
        <v>84</v>
      </c>
      <c r="B49" s="17" t="s">
        <v>113</v>
      </c>
      <c r="C49" s="89" t="s">
        <v>175</v>
      </c>
      <c r="D49" s="152"/>
      <c r="E49" s="152"/>
      <c r="F49" s="17" t="s">
        <v>239</v>
      </c>
      <c r="G49" s="59">
        <v>409.4184</v>
      </c>
      <c r="H49" s="59">
        <v>0</v>
      </c>
      <c r="I49" s="59">
        <f>G49*AO49</f>
        <v>0</v>
      </c>
      <c r="J49" s="59">
        <f>G49*AP49</f>
        <v>0</v>
      </c>
      <c r="K49" s="59">
        <f>G49*H49</f>
        <v>0</v>
      </c>
      <c r="L49" s="60" t="s">
        <v>255</v>
      </c>
      <c r="Z49" s="59">
        <f>IF(AQ49="5",BJ49,0)</f>
        <v>0</v>
      </c>
      <c r="AB49" s="59">
        <f>IF(AQ49="1",BH49,0)</f>
        <v>0</v>
      </c>
      <c r="AC49" s="59">
        <f>IF(AQ49="1",BI49,0)</f>
        <v>0</v>
      </c>
      <c r="AD49" s="59">
        <f>IF(AQ49="7",BH49,0)</f>
        <v>0</v>
      </c>
      <c r="AE49" s="59">
        <f>IF(AQ49="7",BI49,0)</f>
        <v>0</v>
      </c>
      <c r="AF49" s="59">
        <f>IF(AQ49="2",BH49,0)</f>
        <v>0</v>
      </c>
      <c r="AG49" s="59">
        <f>IF(AQ49="2",BI49,0)</f>
        <v>0</v>
      </c>
      <c r="AH49" s="59">
        <f>IF(AQ49="0",BJ49,0)</f>
        <v>0</v>
      </c>
      <c r="AI49" s="55"/>
      <c r="AJ49" s="43">
        <f>IF(AN49=0,K49,0)</f>
        <v>0</v>
      </c>
      <c r="AK49" s="43">
        <f>IF(AN49=15,K49,0)</f>
        <v>0</v>
      </c>
      <c r="AL49" s="43">
        <f>IF(AN49=21,K49,0)</f>
        <v>0</v>
      </c>
      <c r="AN49" s="59">
        <v>21</v>
      </c>
      <c r="AO49" s="59">
        <f>H49*0.236549695438759</f>
        <v>0</v>
      </c>
      <c r="AP49" s="59">
        <f>H49*(1-0.236549695438759)</f>
        <v>0</v>
      </c>
      <c r="AQ49" s="56" t="s">
        <v>80</v>
      </c>
      <c r="AV49" s="59">
        <f>AW49+AX49</f>
        <v>0</v>
      </c>
      <c r="AW49" s="59">
        <f>G49*AO49</f>
        <v>0</v>
      </c>
      <c r="AX49" s="59">
        <f>G49*AP49</f>
        <v>0</v>
      </c>
      <c r="AY49" s="60" t="s">
        <v>268</v>
      </c>
      <c r="AZ49" s="60" t="s">
        <v>278</v>
      </c>
      <c r="BA49" s="55" t="s">
        <v>281</v>
      </c>
      <c r="BC49" s="59">
        <f>AW49+AX49</f>
        <v>0</v>
      </c>
      <c r="BD49" s="59">
        <f>H49/(100-BE49)*100</f>
        <v>0</v>
      </c>
      <c r="BE49" s="59">
        <v>0</v>
      </c>
      <c r="BF49" s="59">
        <f>49</f>
        <v>49</v>
      </c>
      <c r="BH49" s="43">
        <f>G49*AO49</f>
        <v>0</v>
      </c>
      <c r="BI49" s="43">
        <f>G49*AP49</f>
        <v>0</v>
      </c>
      <c r="BJ49" s="43">
        <f>G49*H49</f>
        <v>0</v>
      </c>
    </row>
    <row r="50" spans="1:12" ht="12.75">
      <c r="A50" s="68"/>
      <c r="B50" s="68"/>
      <c r="C50" s="153" t="s">
        <v>176</v>
      </c>
      <c r="D50" s="154"/>
      <c r="E50" s="154"/>
      <c r="F50" s="68"/>
      <c r="G50" s="69"/>
      <c r="H50" s="68"/>
      <c r="I50" s="68"/>
      <c r="J50" s="68"/>
      <c r="K50" s="68"/>
      <c r="L50" s="68"/>
    </row>
    <row r="51" spans="1:12" ht="12.75">
      <c r="A51" s="68"/>
      <c r="B51" s="68"/>
      <c r="C51" s="153" t="s">
        <v>177</v>
      </c>
      <c r="D51" s="154"/>
      <c r="E51" s="154"/>
      <c r="F51" s="68"/>
      <c r="G51" s="69"/>
      <c r="H51" s="68"/>
      <c r="I51" s="68"/>
      <c r="J51" s="68"/>
      <c r="K51" s="68"/>
      <c r="L51" s="68"/>
    </row>
    <row r="52" spans="1:12" ht="12.75">
      <c r="A52" s="68"/>
      <c r="B52" s="68"/>
      <c r="C52" s="153" t="s">
        <v>178</v>
      </c>
      <c r="D52" s="154"/>
      <c r="E52" s="154"/>
      <c r="F52" s="68"/>
      <c r="G52" s="69"/>
      <c r="H52" s="68"/>
      <c r="I52" s="68"/>
      <c r="J52" s="68"/>
      <c r="K52" s="68"/>
      <c r="L52" s="68"/>
    </row>
    <row r="53" spans="1:12" ht="12.75">
      <c r="A53" s="68"/>
      <c r="B53" s="68"/>
      <c r="C53" s="153" t="s">
        <v>179</v>
      </c>
      <c r="D53" s="154"/>
      <c r="E53" s="154"/>
      <c r="F53" s="68"/>
      <c r="G53" s="69">
        <v>297.3624</v>
      </c>
      <c r="H53" s="68"/>
      <c r="I53" s="68"/>
      <c r="J53" s="68"/>
      <c r="K53" s="68"/>
      <c r="L53" s="68"/>
    </row>
    <row r="54" spans="1:12" ht="12.75">
      <c r="A54" s="68"/>
      <c r="B54" s="68"/>
      <c r="C54" s="153" t="s">
        <v>180</v>
      </c>
      <c r="D54" s="154"/>
      <c r="E54" s="154"/>
      <c r="F54" s="68"/>
      <c r="G54" s="69">
        <v>75.9</v>
      </c>
      <c r="H54" s="68"/>
      <c r="I54" s="68"/>
      <c r="J54" s="68"/>
      <c r="K54" s="68"/>
      <c r="L54" s="68"/>
    </row>
    <row r="55" spans="1:12" ht="12.75">
      <c r="A55" s="68"/>
      <c r="B55" s="68"/>
      <c r="C55" s="153" t="s">
        <v>181</v>
      </c>
      <c r="D55" s="154"/>
      <c r="E55" s="154"/>
      <c r="F55" s="68"/>
      <c r="G55" s="69">
        <v>36.156</v>
      </c>
      <c r="H55" s="68"/>
      <c r="I55" s="68"/>
      <c r="J55" s="68"/>
      <c r="K55" s="68"/>
      <c r="L55" s="68"/>
    </row>
    <row r="56" spans="1:47" ht="12.75">
      <c r="A56" s="64"/>
      <c r="B56" s="65" t="s">
        <v>114</v>
      </c>
      <c r="C56" s="150" t="s">
        <v>182</v>
      </c>
      <c r="D56" s="151"/>
      <c r="E56" s="151"/>
      <c r="F56" s="64" t="s">
        <v>73</v>
      </c>
      <c r="G56" s="64" t="s">
        <v>73</v>
      </c>
      <c r="H56" s="64" t="s">
        <v>73</v>
      </c>
      <c r="I56" s="66">
        <f>SUM(I57:I57)</f>
        <v>0</v>
      </c>
      <c r="J56" s="66">
        <f>SUM(J57:J57)</f>
        <v>0</v>
      </c>
      <c r="K56" s="66">
        <f>SUM(K57:K57)</f>
        <v>0</v>
      </c>
      <c r="L56" s="67"/>
      <c r="AI56" s="55"/>
      <c r="AS56" s="62">
        <f>SUM(AJ57:AJ57)</f>
        <v>0</v>
      </c>
      <c r="AT56" s="62">
        <f>SUM(AK57:AK57)</f>
        <v>0</v>
      </c>
      <c r="AU56" s="62">
        <f>SUM(AL57:AL57)</f>
        <v>0</v>
      </c>
    </row>
    <row r="57" spans="1:62" ht="12.75">
      <c r="A57" s="17" t="s">
        <v>85</v>
      </c>
      <c r="B57" s="17" t="s">
        <v>115</v>
      </c>
      <c r="C57" s="89" t="s">
        <v>183</v>
      </c>
      <c r="D57" s="152"/>
      <c r="E57" s="152"/>
      <c r="F57" s="17" t="s">
        <v>236</v>
      </c>
      <c r="G57" s="59">
        <v>10</v>
      </c>
      <c r="H57" s="59">
        <v>0</v>
      </c>
      <c r="I57" s="59">
        <f>G57*AO57</f>
        <v>0</v>
      </c>
      <c r="J57" s="59">
        <f>G57*AP57</f>
        <v>0</v>
      </c>
      <c r="K57" s="59">
        <f>G57*H57</f>
        <v>0</v>
      </c>
      <c r="L57" s="60" t="s">
        <v>255</v>
      </c>
      <c r="Z57" s="59">
        <f>IF(AQ57="5",BJ57,0)</f>
        <v>0</v>
      </c>
      <c r="AB57" s="59">
        <f>IF(AQ57="1",BH57,0)</f>
        <v>0</v>
      </c>
      <c r="AC57" s="59">
        <f>IF(AQ57="1",BI57,0)</f>
        <v>0</v>
      </c>
      <c r="AD57" s="59">
        <f>IF(AQ57="7",BH57,0)</f>
        <v>0</v>
      </c>
      <c r="AE57" s="59">
        <f>IF(AQ57="7",BI57,0)</f>
        <v>0</v>
      </c>
      <c r="AF57" s="59">
        <f>IF(AQ57="2",BH57,0)</f>
        <v>0</v>
      </c>
      <c r="AG57" s="59">
        <f>IF(AQ57="2",BI57,0)</f>
        <v>0</v>
      </c>
      <c r="AH57" s="59">
        <f>IF(AQ57="0",BJ57,0)</f>
        <v>0</v>
      </c>
      <c r="AI57" s="55"/>
      <c r="AJ57" s="43">
        <f>IF(AN57=0,K57,0)</f>
        <v>0</v>
      </c>
      <c r="AK57" s="43">
        <f>IF(AN57=15,K57,0)</f>
        <v>0</v>
      </c>
      <c r="AL57" s="43">
        <f>IF(AN57=21,K57,0)</f>
        <v>0</v>
      </c>
      <c r="AN57" s="59">
        <v>21</v>
      </c>
      <c r="AO57" s="59">
        <f>H57*0.54628416096306</f>
        <v>0</v>
      </c>
      <c r="AP57" s="59">
        <f>H57*(1-0.54628416096306)</f>
        <v>0</v>
      </c>
      <c r="AQ57" s="56" t="s">
        <v>74</v>
      </c>
      <c r="AV57" s="59">
        <f>AW57+AX57</f>
        <v>0</v>
      </c>
      <c r="AW57" s="59">
        <f>G57*AO57</f>
        <v>0</v>
      </c>
      <c r="AX57" s="59">
        <f>G57*AP57</f>
        <v>0</v>
      </c>
      <c r="AY57" s="60" t="s">
        <v>269</v>
      </c>
      <c r="AZ57" s="60" t="s">
        <v>279</v>
      </c>
      <c r="BA57" s="55" t="s">
        <v>281</v>
      </c>
      <c r="BC57" s="59">
        <f>AW57+AX57</f>
        <v>0</v>
      </c>
      <c r="BD57" s="59">
        <f>H57/(100-BE57)*100</f>
        <v>0</v>
      </c>
      <c r="BE57" s="59">
        <v>0</v>
      </c>
      <c r="BF57" s="59">
        <f>57</f>
        <v>57</v>
      </c>
      <c r="BH57" s="43">
        <f>G57*AO57</f>
        <v>0</v>
      </c>
      <c r="BI57" s="43">
        <f>G57*AP57</f>
        <v>0</v>
      </c>
      <c r="BJ57" s="43">
        <f>G57*H57</f>
        <v>0</v>
      </c>
    </row>
    <row r="58" spans="1:12" ht="12.75">
      <c r="A58" s="68"/>
      <c r="B58" s="68"/>
      <c r="C58" s="153" t="s">
        <v>184</v>
      </c>
      <c r="D58" s="154"/>
      <c r="E58" s="154"/>
      <c r="F58" s="68"/>
      <c r="G58" s="69"/>
      <c r="H58" s="68"/>
      <c r="I58" s="68"/>
      <c r="J58" s="68"/>
      <c r="K58" s="68"/>
      <c r="L58" s="68"/>
    </row>
    <row r="59" spans="1:12" ht="12.75">
      <c r="A59" s="68"/>
      <c r="B59" s="68"/>
      <c r="C59" s="153" t="s">
        <v>185</v>
      </c>
      <c r="D59" s="154"/>
      <c r="E59" s="154"/>
      <c r="F59" s="68"/>
      <c r="G59" s="69">
        <v>10</v>
      </c>
      <c r="H59" s="68"/>
      <c r="I59" s="68"/>
      <c r="J59" s="68"/>
      <c r="K59" s="68"/>
      <c r="L59" s="68"/>
    </row>
    <row r="60" spans="1:47" ht="12.75">
      <c r="A60" s="64"/>
      <c r="B60" s="65" t="s">
        <v>116</v>
      </c>
      <c r="C60" s="150" t="s">
        <v>186</v>
      </c>
      <c r="D60" s="151"/>
      <c r="E60" s="151"/>
      <c r="F60" s="64" t="s">
        <v>73</v>
      </c>
      <c r="G60" s="64" t="s">
        <v>73</v>
      </c>
      <c r="H60" s="64" t="s">
        <v>73</v>
      </c>
      <c r="I60" s="66">
        <f>SUM(I61:I61)</f>
        <v>0</v>
      </c>
      <c r="J60" s="66">
        <f>SUM(J61:J61)</f>
        <v>0</v>
      </c>
      <c r="K60" s="66">
        <f>SUM(K61:K61)</f>
        <v>0</v>
      </c>
      <c r="L60" s="67"/>
      <c r="AI60" s="55"/>
      <c r="AS60" s="62">
        <f>SUM(AJ61:AJ61)</f>
        <v>0</v>
      </c>
      <c r="AT60" s="62">
        <f>SUM(AK61:AK61)</f>
        <v>0</v>
      </c>
      <c r="AU60" s="62">
        <f>SUM(AL61:AL61)</f>
        <v>0</v>
      </c>
    </row>
    <row r="61" spans="1:62" ht="12.75">
      <c r="A61" s="17" t="s">
        <v>86</v>
      </c>
      <c r="B61" s="17" t="s">
        <v>117</v>
      </c>
      <c r="C61" s="89" t="s">
        <v>187</v>
      </c>
      <c r="D61" s="152"/>
      <c r="E61" s="152"/>
      <c r="F61" s="17" t="s">
        <v>238</v>
      </c>
      <c r="G61" s="59">
        <v>752.95</v>
      </c>
      <c r="H61" s="59">
        <v>0</v>
      </c>
      <c r="I61" s="59">
        <f>G61*AO61</f>
        <v>0</v>
      </c>
      <c r="J61" s="59">
        <f>G61*AP61</f>
        <v>0</v>
      </c>
      <c r="K61" s="59">
        <f>G61*H61</f>
        <v>0</v>
      </c>
      <c r="L61" s="60" t="s">
        <v>255</v>
      </c>
      <c r="Z61" s="59">
        <f>IF(AQ61="5",BJ61,0)</f>
        <v>0</v>
      </c>
      <c r="AB61" s="59">
        <f>IF(AQ61="1",BH61,0)</f>
        <v>0</v>
      </c>
      <c r="AC61" s="59">
        <f>IF(AQ61="1",BI61,0)</f>
        <v>0</v>
      </c>
      <c r="AD61" s="59">
        <f>IF(AQ61="7",BH61,0)</f>
        <v>0</v>
      </c>
      <c r="AE61" s="59">
        <f>IF(AQ61="7",BI61,0)</f>
        <v>0</v>
      </c>
      <c r="AF61" s="59">
        <f>IF(AQ61="2",BH61,0)</f>
        <v>0</v>
      </c>
      <c r="AG61" s="59">
        <f>IF(AQ61="2",BI61,0)</f>
        <v>0</v>
      </c>
      <c r="AH61" s="59">
        <f>IF(AQ61="0",BJ61,0)</f>
        <v>0</v>
      </c>
      <c r="AI61" s="55"/>
      <c r="AJ61" s="43">
        <f>IF(AN61=0,K61,0)</f>
        <v>0</v>
      </c>
      <c r="AK61" s="43">
        <f>IF(AN61=15,K61,0)</f>
        <v>0</v>
      </c>
      <c r="AL61" s="43">
        <f>IF(AN61=21,K61,0)</f>
        <v>0</v>
      </c>
      <c r="AN61" s="59">
        <v>21</v>
      </c>
      <c r="AO61" s="59">
        <f>H61*0.143908629441624</f>
        <v>0</v>
      </c>
      <c r="AP61" s="59">
        <f>H61*(1-0.143908629441624)</f>
        <v>0</v>
      </c>
      <c r="AQ61" s="56" t="s">
        <v>74</v>
      </c>
      <c r="AV61" s="59">
        <f>AW61+AX61</f>
        <v>0</v>
      </c>
      <c r="AW61" s="59">
        <f>G61*AO61</f>
        <v>0</v>
      </c>
      <c r="AX61" s="59">
        <f>G61*AP61</f>
        <v>0</v>
      </c>
      <c r="AY61" s="60" t="s">
        <v>270</v>
      </c>
      <c r="AZ61" s="60" t="s">
        <v>279</v>
      </c>
      <c r="BA61" s="55" t="s">
        <v>281</v>
      </c>
      <c r="BC61" s="59">
        <f>AW61+AX61</f>
        <v>0</v>
      </c>
      <c r="BD61" s="59">
        <f>H61/(100-BE61)*100</f>
        <v>0</v>
      </c>
      <c r="BE61" s="59">
        <v>0</v>
      </c>
      <c r="BF61" s="59">
        <f>61</f>
        <v>61</v>
      </c>
      <c r="BH61" s="43">
        <f>G61*AO61</f>
        <v>0</v>
      </c>
      <c r="BI61" s="43">
        <f>G61*AP61</f>
        <v>0</v>
      </c>
      <c r="BJ61" s="43">
        <f>G61*H61</f>
        <v>0</v>
      </c>
    </row>
    <row r="62" spans="1:12" ht="12.75">
      <c r="A62" s="68"/>
      <c r="B62" s="68"/>
      <c r="C62" s="153" t="s">
        <v>166</v>
      </c>
      <c r="D62" s="154"/>
      <c r="E62" s="154"/>
      <c r="F62" s="68"/>
      <c r="G62" s="69">
        <v>752.95</v>
      </c>
      <c r="H62" s="68"/>
      <c r="I62" s="68"/>
      <c r="J62" s="68"/>
      <c r="K62" s="68"/>
      <c r="L62" s="68"/>
    </row>
    <row r="63" spans="1:47" ht="12.75">
      <c r="A63" s="64"/>
      <c r="B63" s="65" t="s">
        <v>118</v>
      </c>
      <c r="C63" s="150" t="s">
        <v>188</v>
      </c>
      <c r="D63" s="151"/>
      <c r="E63" s="151"/>
      <c r="F63" s="64" t="s">
        <v>73</v>
      </c>
      <c r="G63" s="64" t="s">
        <v>73</v>
      </c>
      <c r="H63" s="64" t="s">
        <v>73</v>
      </c>
      <c r="I63" s="66">
        <f>SUM(I64:I86)</f>
        <v>0</v>
      </c>
      <c r="J63" s="66">
        <f>SUM(J64:J86)</f>
        <v>0</v>
      </c>
      <c r="K63" s="66">
        <f>SUM(K64:K86)</f>
        <v>0</v>
      </c>
      <c r="L63" s="67"/>
      <c r="AI63" s="55"/>
      <c r="AS63" s="62">
        <f>SUM(AJ64:AJ86)</f>
        <v>0</v>
      </c>
      <c r="AT63" s="62">
        <f>SUM(AK64:AK86)</f>
        <v>0</v>
      </c>
      <c r="AU63" s="62">
        <f>SUM(AL64:AL86)</f>
        <v>0</v>
      </c>
    </row>
    <row r="64" spans="1:62" ht="12.75">
      <c r="A64" s="17" t="s">
        <v>87</v>
      </c>
      <c r="B64" s="17" t="s">
        <v>119</v>
      </c>
      <c r="C64" s="89" t="s">
        <v>189</v>
      </c>
      <c r="D64" s="152"/>
      <c r="E64" s="152"/>
      <c r="F64" s="17" t="s">
        <v>238</v>
      </c>
      <c r="G64" s="59">
        <v>585.13425</v>
      </c>
      <c r="H64" s="59">
        <v>0</v>
      </c>
      <c r="I64" s="59">
        <f>G64*AO64</f>
        <v>0</v>
      </c>
      <c r="J64" s="59">
        <f>G64*AP64</f>
        <v>0</v>
      </c>
      <c r="K64" s="59">
        <f>G64*H64</f>
        <v>0</v>
      </c>
      <c r="L64" s="60" t="s">
        <v>255</v>
      </c>
      <c r="Z64" s="59">
        <f>IF(AQ64="5",BJ64,0)</f>
        <v>0</v>
      </c>
      <c r="AB64" s="59">
        <f>IF(AQ64="1",BH64,0)</f>
        <v>0</v>
      </c>
      <c r="AC64" s="59">
        <f>IF(AQ64="1",BI64,0)</f>
        <v>0</v>
      </c>
      <c r="AD64" s="59">
        <f>IF(AQ64="7",BH64,0)</f>
        <v>0</v>
      </c>
      <c r="AE64" s="59">
        <f>IF(AQ64="7",BI64,0)</f>
        <v>0</v>
      </c>
      <c r="AF64" s="59">
        <f>IF(AQ64="2",BH64,0)</f>
        <v>0</v>
      </c>
      <c r="AG64" s="59">
        <f>IF(AQ64="2",BI64,0)</f>
        <v>0</v>
      </c>
      <c r="AH64" s="59">
        <f>IF(AQ64="0",BJ64,0)</f>
        <v>0</v>
      </c>
      <c r="AI64" s="55"/>
      <c r="AJ64" s="43">
        <f>IF(AN64=0,K64,0)</f>
        <v>0</v>
      </c>
      <c r="AK64" s="43">
        <f>IF(AN64=15,K64,0)</f>
        <v>0</v>
      </c>
      <c r="AL64" s="43">
        <f>IF(AN64=21,K64,0)</f>
        <v>0</v>
      </c>
      <c r="AN64" s="59">
        <v>21</v>
      </c>
      <c r="AO64" s="59">
        <f>H64*0</f>
        <v>0</v>
      </c>
      <c r="AP64" s="59">
        <f>H64*(1-0)</f>
        <v>0</v>
      </c>
      <c r="AQ64" s="56" t="s">
        <v>74</v>
      </c>
      <c r="AV64" s="59">
        <f>AW64+AX64</f>
        <v>0</v>
      </c>
      <c r="AW64" s="59">
        <f>G64*AO64</f>
        <v>0</v>
      </c>
      <c r="AX64" s="59">
        <f>G64*AP64</f>
        <v>0</v>
      </c>
      <c r="AY64" s="60" t="s">
        <v>271</v>
      </c>
      <c r="AZ64" s="60" t="s">
        <v>279</v>
      </c>
      <c r="BA64" s="55" t="s">
        <v>281</v>
      </c>
      <c r="BC64" s="59">
        <f>AW64+AX64</f>
        <v>0</v>
      </c>
      <c r="BD64" s="59">
        <f>H64/(100-BE64)*100</f>
        <v>0</v>
      </c>
      <c r="BE64" s="59">
        <v>0</v>
      </c>
      <c r="BF64" s="59">
        <f>64</f>
        <v>64</v>
      </c>
      <c r="BH64" s="43">
        <f>G64*AO64</f>
        <v>0</v>
      </c>
      <c r="BI64" s="43">
        <f>G64*AP64</f>
        <v>0</v>
      </c>
      <c r="BJ64" s="43">
        <f>G64*H64</f>
        <v>0</v>
      </c>
    </row>
    <row r="65" spans="1:12" ht="12.75">
      <c r="A65" s="68"/>
      <c r="B65" s="68"/>
      <c r="C65" s="153" t="s">
        <v>190</v>
      </c>
      <c r="D65" s="154"/>
      <c r="E65" s="154"/>
      <c r="F65" s="68"/>
      <c r="G65" s="69"/>
      <c r="H65" s="68"/>
      <c r="I65" s="68"/>
      <c r="J65" s="68"/>
      <c r="K65" s="68"/>
      <c r="L65" s="68"/>
    </row>
    <row r="66" spans="1:12" ht="12.75">
      <c r="A66" s="68"/>
      <c r="B66" s="68"/>
      <c r="C66" s="153" t="s">
        <v>191</v>
      </c>
      <c r="D66" s="154"/>
      <c r="E66" s="154"/>
      <c r="F66" s="68"/>
      <c r="G66" s="69">
        <v>735.43</v>
      </c>
      <c r="H66" s="68"/>
      <c r="I66" s="68"/>
      <c r="J66" s="68"/>
      <c r="K66" s="68"/>
      <c r="L66" s="68"/>
    </row>
    <row r="67" spans="1:12" ht="12.75">
      <c r="A67" s="68"/>
      <c r="B67" s="68"/>
      <c r="C67" s="153" t="s">
        <v>192</v>
      </c>
      <c r="D67" s="154"/>
      <c r="E67" s="154"/>
      <c r="F67" s="68"/>
      <c r="G67" s="69"/>
      <c r="H67" s="68"/>
      <c r="I67" s="68"/>
      <c r="J67" s="68"/>
      <c r="K67" s="68"/>
      <c r="L67" s="68"/>
    </row>
    <row r="68" spans="1:12" ht="12.75">
      <c r="A68" s="68"/>
      <c r="B68" s="68"/>
      <c r="C68" s="153" t="s">
        <v>193</v>
      </c>
      <c r="D68" s="154"/>
      <c r="E68" s="154"/>
      <c r="F68" s="68"/>
      <c r="G68" s="69">
        <v>-24.18</v>
      </c>
      <c r="H68" s="68"/>
      <c r="I68" s="68"/>
      <c r="J68" s="68"/>
      <c r="K68" s="68"/>
      <c r="L68" s="68"/>
    </row>
    <row r="69" spans="1:12" ht="12.75">
      <c r="A69" s="68"/>
      <c r="B69" s="68"/>
      <c r="C69" s="153" t="s">
        <v>194</v>
      </c>
      <c r="D69" s="154"/>
      <c r="E69" s="154"/>
      <c r="F69" s="68"/>
      <c r="G69" s="69">
        <v>-22.021</v>
      </c>
      <c r="H69" s="68"/>
      <c r="I69" s="68"/>
      <c r="J69" s="68"/>
      <c r="K69" s="68"/>
      <c r="L69" s="68"/>
    </row>
    <row r="70" spans="1:12" ht="12.75">
      <c r="A70" s="68"/>
      <c r="B70" s="68"/>
      <c r="C70" s="153" t="s">
        <v>195</v>
      </c>
      <c r="D70" s="154"/>
      <c r="E70" s="154"/>
      <c r="F70" s="68"/>
      <c r="G70" s="69">
        <v>-13.73</v>
      </c>
      <c r="H70" s="68"/>
      <c r="I70" s="68"/>
      <c r="J70" s="68"/>
      <c r="K70" s="68"/>
      <c r="L70" s="68"/>
    </row>
    <row r="71" spans="1:12" ht="12.75">
      <c r="A71" s="68"/>
      <c r="B71" s="68"/>
      <c r="C71" s="153" t="s">
        <v>196</v>
      </c>
      <c r="D71" s="154"/>
      <c r="E71" s="154"/>
      <c r="F71" s="68"/>
      <c r="G71" s="69">
        <v>-15.6005</v>
      </c>
      <c r="H71" s="68"/>
      <c r="I71" s="68"/>
      <c r="J71" s="68"/>
      <c r="K71" s="68"/>
      <c r="L71" s="68"/>
    </row>
    <row r="72" spans="1:12" ht="12.75">
      <c r="A72" s="68"/>
      <c r="B72" s="68"/>
      <c r="C72" s="153" t="s">
        <v>197</v>
      </c>
      <c r="D72" s="154"/>
      <c r="E72" s="154"/>
      <c r="F72" s="68"/>
      <c r="G72" s="69">
        <v>-11.21025</v>
      </c>
      <c r="H72" s="68"/>
      <c r="I72" s="68"/>
      <c r="J72" s="68"/>
      <c r="K72" s="68"/>
      <c r="L72" s="68"/>
    </row>
    <row r="73" spans="1:12" ht="12.75">
      <c r="A73" s="68"/>
      <c r="B73" s="68"/>
      <c r="C73" s="153" t="s">
        <v>198</v>
      </c>
      <c r="D73" s="154"/>
      <c r="E73" s="154"/>
      <c r="F73" s="68"/>
      <c r="G73" s="69">
        <v>-18.43</v>
      </c>
      <c r="H73" s="68"/>
      <c r="I73" s="68"/>
      <c r="J73" s="68"/>
      <c r="K73" s="68"/>
      <c r="L73" s="68"/>
    </row>
    <row r="74" spans="1:12" ht="12.75">
      <c r="A74" s="68"/>
      <c r="B74" s="68"/>
      <c r="C74" s="153" t="s">
        <v>199</v>
      </c>
      <c r="D74" s="154"/>
      <c r="E74" s="154"/>
      <c r="F74" s="68"/>
      <c r="G74" s="69">
        <v>0</v>
      </c>
      <c r="H74" s="68"/>
      <c r="I74" s="68"/>
      <c r="J74" s="68"/>
      <c r="K74" s="68"/>
      <c r="L74" s="68"/>
    </row>
    <row r="75" spans="1:12" ht="12.75">
      <c r="A75" s="68"/>
      <c r="B75" s="68"/>
      <c r="C75" s="153" t="s">
        <v>200</v>
      </c>
      <c r="D75" s="154"/>
      <c r="E75" s="154"/>
      <c r="F75" s="68"/>
      <c r="G75" s="69">
        <v>-35.064</v>
      </c>
      <c r="H75" s="68"/>
      <c r="I75" s="68"/>
      <c r="J75" s="68"/>
      <c r="K75" s="68"/>
      <c r="L75" s="68"/>
    </row>
    <row r="76" spans="1:12" ht="12.75">
      <c r="A76" s="68"/>
      <c r="B76" s="68"/>
      <c r="C76" s="153" t="s">
        <v>201</v>
      </c>
      <c r="D76" s="154"/>
      <c r="E76" s="154"/>
      <c r="F76" s="68"/>
      <c r="G76" s="69">
        <v>-9.36</v>
      </c>
      <c r="H76" s="68"/>
      <c r="I76" s="68"/>
      <c r="J76" s="68"/>
      <c r="K76" s="68"/>
      <c r="L76" s="68"/>
    </row>
    <row r="77" spans="1:12" ht="12.75">
      <c r="A77" s="68"/>
      <c r="B77" s="68"/>
      <c r="C77" s="153" t="s">
        <v>202</v>
      </c>
      <c r="D77" s="154"/>
      <c r="E77" s="154"/>
      <c r="F77" s="68"/>
      <c r="G77" s="69">
        <v>-0.7</v>
      </c>
      <c r="H77" s="68"/>
      <c r="I77" s="68"/>
      <c r="J77" s="68"/>
      <c r="K77" s="68"/>
      <c r="L77" s="68"/>
    </row>
    <row r="78" spans="1:62" ht="12.75">
      <c r="A78" s="17" t="s">
        <v>88</v>
      </c>
      <c r="B78" s="17" t="s">
        <v>120</v>
      </c>
      <c r="C78" s="89" t="s">
        <v>203</v>
      </c>
      <c r="D78" s="152"/>
      <c r="E78" s="152"/>
      <c r="F78" s="17" t="s">
        <v>237</v>
      </c>
      <c r="G78" s="59">
        <v>29.25671</v>
      </c>
      <c r="H78" s="59">
        <v>0</v>
      </c>
      <c r="I78" s="59">
        <f>G78*AO78</f>
        <v>0</v>
      </c>
      <c r="J78" s="59">
        <f>G78*AP78</f>
        <v>0</v>
      </c>
      <c r="K78" s="59">
        <f>G78*H78</f>
        <v>0</v>
      </c>
      <c r="L78" s="60" t="s">
        <v>255</v>
      </c>
      <c r="Z78" s="59">
        <f>IF(AQ78="5",BJ78,0)</f>
        <v>0</v>
      </c>
      <c r="AB78" s="59">
        <f>IF(AQ78="1",BH78,0)</f>
        <v>0</v>
      </c>
      <c r="AC78" s="59">
        <f>IF(AQ78="1",BI78,0)</f>
        <v>0</v>
      </c>
      <c r="AD78" s="59">
        <f>IF(AQ78="7",BH78,0)</f>
        <v>0</v>
      </c>
      <c r="AE78" s="59">
        <f>IF(AQ78="7",BI78,0)</f>
        <v>0</v>
      </c>
      <c r="AF78" s="59">
        <f>IF(AQ78="2",BH78,0)</f>
        <v>0</v>
      </c>
      <c r="AG78" s="59">
        <f>IF(AQ78="2",BI78,0)</f>
        <v>0</v>
      </c>
      <c r="AH78" s="59">
        <f>IF(AQ78="0",BJ78,0)</f>
        <v>0</v>
      </c>
      <c r="AI78" s="55"/>
      <c r="AJ78" s="43">
        <f>IF(AN78=0,K78,0)</f>
        <v>0</v>
      </c>
      <c r="AK78" s="43">
        <f>IF(AN78=15,K78,0)</f>
        <v>0</v>
      </c>
      <c r="AL78" s="43">
        <f>IF(AN78=21,K78,0)</f>
        <v>0</v>
      </c>
      <c r="AN78" s="59">
        <v>21</v>
      </c>
      <c r="AO78" s="59">
        <f>H78*0</f>
        <v>0</v>
      </c>
      <c r="AP78" s="59">
        <f>H78*(1-0)</f>
        <v>0</v>
      </c>
      <c r="AQ78" s="56" t="s">
        <v>74</v>
      </c>
      <c r="AV78" s="59">
        <f>AW78+AX78</f>
        <v>0</v>
      </c>
      <c r="AW78" s="59">
        <f>G78*AO78</f>
        <v>0</v>
      </c>
      <c r="AX78" s="59">
        <f>G78*AP78</f>
        <v>0</v>
      </c>
      <c r="AY78" s="60" t="s">
        <v>271</v>
      </c>
      <c r="AZ78" s="60" t="s">
        <v>279</v>
      </c>
      <c r="BA78" s="55" t="s">
        <v>281</v>
      </c>
      <c r="BC78" s="59">
        <f>AW78+AX78</f>
        <v>0</v>
      </c>
      <c r="BD78" s="59">
        <f>H78/(100-BE78)*100</f>
        <v>0</v>
      </c>
      <c r="BE78" s="59">
        <v>0</v>
      </c>
      <c r="BF78" s="59">
        <f>78</f>
        <v>78</v>
      </c>
      <c r="BH78" s="43">
        <f>G78*AO78</f>
        <v>0</v>
      </c>
      <c r="BI78" s="43">
        <f>G78*AP78</f>
        <v>0</v>
      </c>
      <c r="BJ78" s="43">
        <f>G78*H78</f>
        <v>0</v>
      </c>
    </row>
    <row r="79" spans="1:12" ht="12.75">
      <c r="A79" s="68"/>
      <c r="B79" s="68"/>
      <c r="C79" s="153" t="s">
        <v>204</v>
      </c>
      <c r="D79" s="154"/>
      <c r="E79" s="154"/>
      <c r="F79" s="68"/>
      <c r="G79" s="69">
        <v>29.25671</v>
      </c>
      <c r="H79" s="68"/>
      <c r="I79" s="68"/>
      <c r="J79" s="68"/>
      <c r="K79" s="68"/>
      <c r="L79" s="68"/>
    </row>
    <row r="80" spans="1:62" ht="12.75">
      <c r="A80" s="17" t="s">
        <v>89</v>
      </c>
      <c r="B80" s="17" t="s">
        <v>121</v>
      </c>
      <c r="C80" s="89" t="s">
        <v>205</v>
      </c>
      <c r="D80" s="152"/>
      <c r="E80" s="152"/>
      <c r="F80" s="17" t="s">
        <v>237</v>
      </c>
      <c r="G80" s="59">
        <v>4.8834</v>
      </c>
      <c r="H80" s="59">
        <v>0</v>
      </c>
      <c r="I80" s="59">
        <f>G80*AO80</f>
        <v>0</v>
      </c>
      <c r="J80" s="59">
        <f>G80*AP80</f>
        <v>0</v>
      </c>
      <c r="K80" s="59">
        <f>G80*H80</f>
        <v>0</v>
      </c>
      <c r="L80" s="60" t="s">
        <v>255</v>
      </c>
      <c r="Z80" s="59">
        <f>IF(AQ80="5",BJ80,0)</f>
        <v>0</v>
      </c>
      <c r="AB80" s="59">
        <f>IF(AQ80="1",BH80,0)</f>
        <v>0</v>
      </c>
      <c r="AC80" s="59">
        <f>IF(AQ80="1",BI80,0)</f>
        <v>0</v>
      </c>
      <c r="AD80" s="59">
        <f>IF(AQ80="7",BH80,0)</f>
        <v>0</v>
      </c>
      <c r="AE80" s="59">
        <f>IF(AQ80="7",BI80,0)</f>
        <v>0</v>
      </c>
      <c r="AF80" s="59">
        <f>IF(AQ80="2",BH80,0)</f>
        <v>0</v>
      </c>
      <c r="AG80" s="59">
        <f>IF(AQ80="2",BI80,0)</f>
        <v>0</v>
      </c>
      <c r="AH80" s="59">
        <f>IF(AQ80="0",BJ80,0)</f>
        <v>0</v>
      </c>
      <c r="AI80" s="55"/>
      <c r="AJ80" s="43">
        <f>IF(AN80=0,K80,0)</f>
        <v>0</v>
      </c>
      <c r="AK80" s="43">
        <f>IF(AN80=15,K80,0)</f>
        <v>0</v>
      </c>
      <c r="AL80" s="43">
        <f>IF(AN80=21,K80,0)</f>
        <v>0</v>
      </c>
      <c r="AN80" s="59">
        <v>21</v>
      </c>
      <c r="AO80" s="59">
        <f>H80*0</f>
        <v>0</v>
      </c>
      <c r="AP80" s="59">
        <f>H80*(1-0)</f>
        <v>0</v>
      </c>
      <c r="AQ80" s="56" t="s">
        <v>74</v>
      </c>
      <c r="AV80" s="59">
        <f>AW80+AX80</f>
        <v>0</v>
      </c>
      <c r="AW80" s="59">
        <f>G80*AO80</f>
        <v>0</v>
      </c>
      <c r="AX80" s="59">
        <f>G80*AP80</f>
        <v>0</v>
      </c>
      <c r="AY80" s="60" t="s">
        <v>271</v>
      </c>
      <c r="AZ80" s="60" t="s">
        <v>279</v>
      </c>
      <c r="BA80" s="55" t="s">
        <v>281</v>
      </c>
      <c r="BC80" s="59">
        <f>AW80+AX80</f>
        <v>0</v>
      </c>
      <c r="BD80" s="59">
        <f>H80/(100-BE80)*100</f>
        <v>0</v>
      </c>
      <c r="BE80" s="59">
        <v>0</v>
      </c>
      <c r="BF80" s="59">
        <f>80</f>
        <v>80</v>
      </c>
      <c r="BH80" s="43">
        <f>G80*AO80</f>
        <v>0</v>
      </c>
      <c r="BI80" s="43">
        <f>G80*AP80</f>
        <v>0</v>
      </c>
      <c r="BJ80" s="43">
        <f>G80*H80</f>
        <v>0</v>
      </c>
    </row>
    <row r="81" spans="1:12" ht="12.75">
      <c r="A81" s="68"/>
      <c r="B81" s="68"/>
      <c r="C81" s="153" t="s">
        <v>206</v>
      </c>
      <c r="D81" s="154"/>
      <c r="E81" s="154"/>
      <c r="F81" s="68"/>
      <c r="G81" s="69"/>
      <c r="H81" s="68"/>
      <c r="I81" s="68"/>
      <c r="J81" s="68"/>
      <c r="K81" s="68"/>
      <c r="L81" s="68"/>
    </row>
    <row r="82" spans="1:12" ht="12.75">
      <c r="A82" s="68"/>
      <c r="B82" s="68"/>
      <c r="C82" s="153" t="s">
        <v>207</v>
      </c>
      <c r="D82" s="154"/>
      <c r="E82" s="154"/>
      <c r="F82" s="68"/>
      <c r="G82" s="69"/>
      <c r="H82" s="68"/>
      <c r="I82" s="68"/>
      <c r="J82" s="68"/>
      <c r="K82" s="68"/>
      <c r="L82" s="68"/>
    </row>
    <row r="83" spans="1:12" ht="12.75">
      <c r="A83" s="68"/>
      <c r="B83" s="68"/>
      <c r="C83" s="153" t="s">
        <v>208</v>
      </c>
      <c r="D83" s="154"/>
      <c r="E83" s="154"/>
      <c r="F83" s="68"/>
      <c r="G83" s="69"/>
      <c r="H83" s="68"/>
      <c r="I83" s="68"/>
      <c r="J83" s="68"/>
      <c r="K83" s="68"/>
      <c r="L83" s="68"/>
    </row>
    <row r="84" spans="1:12" ht="12.75">
      <c r="A84" s="68"/>
      <c r="B84" s="68"/>
      <c r="C84" s="153" t="s">
        <v>209</v>
      </c>
      <c r="D84" s="154"/>
      <c r="E84" s="154"/>
      <c r="F84" s="68"/>
      <c r="G84" s="69">
        <v>4.8834</v>
      </c>
      <c r="H84" s="68"/>
      <c r="I84" s="68"/>
      <c r="J84" s="68"/>
      <c r="K84" s="68"/>
      <c r="L84" s="68"/>
    </row>
    <row r="85" spans="1:12" ht="12.75">
      <c r="A85" s="68"/>
      <c r="B85" s="68"/>
      <c r="C85" s="153" t="s">
        <v>210</v>
      </c>
      <c r="D85" s="154"/>
      <c r="E85" s="154"/>
      <c r="F85" s="68"/>
      <c r="G85" s="69"/>
      <c r="H85" s="68"/>
      <c r="I85" s="68"/>
      <c r="J85" s="68"/>
      <c r="K85" s="68"/>
      <c r="L85" s="68"/>
    </row>
    <row r="86" spans="1:62" ht="12.75">
      <c r="A86" s="17" t="s">
        <v>90</v>
      </c>
      <c r="B86" s="17" t="s">
        <v>122</v>
      </c>
      <c r="C86" s="89" t="s">
        <v>211</v>
      </c>
      <c r="D86" s="152"/>
      <c r="E86" s="152"/>
      <c r="F86" s="17" t="s">
        <v>237</v>
      </c>
      <c r="G86" s="59">
        <v>2.2008</v>
      </c>
      <c r="H86" s="59">
        <v>0</v>
      </c>
      <c r="I86" s="59">
        <f>G86*AO86</f>
        <v>0</v>
      </c>
      <c r="J86" s="59">
        <f>G86*AP86</f>
        <v>0</v>
      </c>
      <c r="K86" s="59">
        <f>G86*H86</f>
        <v>0</v>
      </c>
      <c r="L86" s="60" t="s">
        <v>255</v>
      </c>
      <c r="Z86" s="59">
        <f>IF(AQ86="5",BJ86,0)</f>
        <v>0</v>
      </c>
      <c r="AB86" s="59">
        <f>IF(AQ86="1",BH86,0)</f>
        <v>0</v>
      </c>
      <c r="AC86" s="59">
        <f>IF(AQ86="1",BI86,0)</f>
        <v>0</v>
      </c>
      <c r="AD86" s="59">
        <f>IF(AQ86="7",BH86,0)</f>
        <v>0</v>
      </c>
      <c r="AE86" s="59">
        <f>IF(AQ86="7",BI86,0)</f>
        <v>0</v>
      </c>
      <c r="AF86" s="59">
        <f>IF(AQ86="2",BH86,0)</f>
        <v>0</v>
      </c>
      <c r="AG86" s="59">
        <f>IF(AQ86="2",BI86,0)</f>
        <v>0</v>
      </c>
      <c r="AH86" s="59">
        <f>IF(AQ86="0",BJ86,0)</f>
        <v>0</v>
      </c>
      <c r="AI86" s="55"/>
      <c r="AJ86" s="43">
        <f>IF(AN86=0,K86,0)</f>
        <v>0</v>
      </c>
      <c r="AK86" s="43">
        <f>IF(AN86=15,K86,0)</f>
        <v>0</v>
      </c>
      <c r="AL86" s="43">
        <f>IF(AN86=21,K86,0)</f>
        <v>0</v>
      </c>
      <c r="AN86" s="59">
        <v>21</v>
      </c>
      <c r="AO86" s="59">
        <f>H86*0</f>
        <v>0</v>
      </c>
      <c r="AP86" s="59">
        <f>H86*(1-0)</f>
        <v>0</v>
      </c>
      <c r="AQ86" s="56" t="s">
        <v>74</v>
      </c>
      <c r="AV86" s="59">
        <f>AW86+AX86</f>
        <v>0</v>
      </c>
      <c r="AW86" s="59">
        <f>G86*AO86</f>
        <v>0</v>
      </c>
      <c r="AX86" s="59">
        <f>G86*AP86</f>
        <v>0</v>
      </c>
      <c r="AY86" s="60" t="s">
        <v>271</v>
      </c>
      <c r="AZ86" s="60" t="s">
        <v>279</v>
      </c>
      <c r="BA86" s="55" t="s">
        <v>281</v>
      </c>
      <c r="BC86" s="59">
        <f>AW86+AX86</f>
        <v>0</v>
      </c>
      <c r="BD86" s="59">
        <f>H86/(100-BE86)*100</f>
        <v>0</v>
      </c>
      <c r="BE86" s="59">
        <v>0</v>
      </c>
      <c r="BF86" s="59">
        <f>86</f>
        <v>86</v>
      </c>
      <c r="BH86" s="43">
        <f>G86*AO86</f>
        <v>0</v>
      </c>
      <c r="BI86" s="43">
        <f>G86*AP86</f>
        <v>0</v>
      </c>
      <c r="BJ86" s="43">
        <f>G86*H86</f>
        <v>0</v>
      </c>
    </row>
    <row r="87" spans="1:12" ht="12.75">
      <c r="A87" s="68"/>
      <c r="B87" s="68"/>
      <c r="C87" s="153" t="s">
        <v>212</v>
      </c>
      <c r="D87" s="154"/>
      <c r="E87" s="154"/>
      <c r="F87" s="68"/>
      <c r="G87" s="69"/>
      <c r="H87" s="68"/>
      <c r="I87" s="68"/>
      <c r="J87" s="68"/>
      <c r="K87" s="68"/>
      <c r="L87" s="68"/>
    </row>
    <row r="88" spans="1:12" ht="12.75">
      <c r="A88" s="68"/>
      <c r="B88" s="68"/>
      <c r="C88" s="153" t="s">
        <v>213</v>
      </c>
      <c r="D88" s="154"/>
      <c r="E88" s="154"/>
      <c r="F88" s="68"/>
      <c r="G88" s="69">
        <v>1.5</v>
      </c>
      <c r="H88" s="68"/>
      <c r="I88" s="68"/>
      <c r="J88" s="68"/>
      <c r="K88" s="68"/>
      <c r="L88" s="68"/>
    </row>
    <row r="89" spans="1:12" ht="12.75">
      <c r="A89" s="68"/>
      <c r="B89" s="68"/>
      <c r="C89" s="153" t="s">
        <v>214</v>
      </c>
      <c r="D89" s="154"/>
      <c r="E89" s="154"/>
      <c r="F89" s="68"/>
      <c r="G89" s="69"/>
      <c r="H89" s="68"/>
      <c r="I89" s="68"/>
      <c r="J89" s="68"/>
      <c r="K89" s="68"/>
      <c r="L89" s="68"/>
    </row>
    <row r="90" spans="1:12" ht="12.75">
      <c r="A90" s="68"/>
      <c r="B90" s="68"/>
      <c r="C90" s="153" t="s">
        <v>215</v>
      </c>
      <c r="D90" s="154"/>
      <c r="E90" s="154"/>
      <c r="F90" s="68"/>
      <c r="G90" s="69">
        <v>0.7008</v>
      </c>
      <c r="H90" s="68"/>
      <c r="I90" s="68"/>
      <c r="J90" s="68"/>
      <c r="K90" s="68"/>
      <c r="L90" s="68"/>
    </row>
    <row r="91" spans="1:47" ht="12.75">
      <c r="A91" s="64"/>
      <c r="B91" s="65" t="s">
        <v>123</v>
      </c>
      <c r="C91" s="150" t="s">
        <v>216</v>
      </c>
      <c r="D91" s="151"/>
      <c r="E91" s="151"/>
      <c r="F91" s="64" t="s">
        <v>73</v>
      </c>
      <c r="G91" s="64" t="s">
        <v>73</v>
      </c>
      <c r="H91" s="64" t="s">
        <v>73</v>
      </c>
      <c r="I91" s="66">
        <f>SUM(I92:I92)</f>
        <v>0</v>
      </c>
      <c r="J91" s="66">
        <f>SUM(J92:J92)</f>
        <v>0</v>
      </c>
      <c r="K91" s="66">
        <f>SUM(K92:K92)</f>
        <v>0</v>
      </c>
      <c r="L91" s="67"/>
      <c r="AI91" s="55"/>
      <c r="AS91" s="62">
        <f>SUM(AJ92:AJ92)</f>
        <v>0</v>
      </c>
      <c r="AT91" s="62">
        <f>SUM(AK92:AK92)</f>
        <v>0</v>
      </c>
      <c r="AU91" s="62">
        <f>SUM(AL92:AL92)</f>
        <v>0</v>
      </c>
    </row>
    <row r="92" spans="1:62" ht="12.75">
      <c r="A92" s="17" t="s">
        <v>91</v>
      </c>
      <c r="B92" s="17" t="s">
        <v>124</v>
      </c>
      <c r="C92" s="89" t="s">
        <v>217</v>
      </c>
      <c r="D92" s="152"/>
      <c r="E92" s="152"/>
      <c r="F92" s="17" t="s">
        <v>240</v>
      </c>
      <c r="G92" s="59">
        <v>20</v>
      </c>
      <c r="H92" s="59">
        <v>0</v>
      </c>
      <c r="I92" s="59">
        <f>G92*AO92</f>
        <v>0</v>
      </c>
      <c r="J92" s="59">
        <f>G92*AP92</f>
        <v>0</v>
      </c>
      <c r="K92" s="59">
        <f>G92*H92</f>
        <v>0</v>
      </c>
      <c r="L92" s="60" t="s">
        <v>255</v>
      </c>
      <c r="Z92" s="59">
        <f>IF(AQ92="5",BJ92,0)</f>
        <v>0</v>
      </c>
      <c r="AB92" s="59">
        <f>IF(AQ92="1",BH92,0)</f>
        <v>0</v>
      </c>
      <c r="AC92" s="59">
        <f>IF(AQ92="1",BI92,0)</f>
        <v>0</v>
      </c>
      <c r="AD92" s="59">
        <f>IF(AQ92="7",BH92,0)</f>
        <v>0</v>
      </c>
      <c r="AE92" s="59">
        <f>IF(AQ92="7",BI92,0)</f>
        <v>0</v>
      </c>
      <c r="AF92" s="59">
        <f>IF(AQ92="2",BH92,0)</f>
        <v>0</v>
      </c>
      <c r="AG92" s="59">
        <f>IF(AQ92="2",BI92,0)</f>
        <v>0</v>
      </c>
      <c r="AH92" s="59">
        <f>IF(AQ92="0",BJ92,0)</f>
        <v>0</v>
      </c>
      <c r="AI92" s="55"/>
      <c r="AJ92" s="43">
        <f>IF(AN92=0,K92,0)</f>
        <v>0</v>
      </c>
      <c r="AK92" s="43">
        <f>IF(AN92=15,K92,0)</f>
        <v>0</v>
      </c>
      <c r="AL92" s="43">
        <f>IF(AN92=21,K92,0)</f>
        <v>0</v>
      </c>
      <c r="AN92" s="59">
        <v>21</v>
      </c>
      <c r="AO92" s="59">
        <f>H92*0</f>
        <v>0</v>
      </c>
      <c r="AP92" s="59">
        <f>H92*(1-0)</f>
        <v>0</v>
      </c>
      <c r="AQ92" s="56" t="s">
        <v>74</v>
      </c>
      <c r="AV92" s="59">
        <f>AW92+AX92</f>
        <v>0</v>
      </c>
      <c r="AW92" s="59">
        <f>G92*AO92</f>
        <v>0</v>
      </c>
      <c r="AX92" s="59">
        <f>G92*AP92</f>
        <v>0</v>
      </c>
      <c r="AY92" s="60" t="s">
        <v>272</v>
      </c>
      <c r="AZ92" s="60" t="s">
        <v>279</v>
      </c>
      <c r="BA92" s="55" t="s">
        <v>281</v>
      </c>
      <c r="BC92" s="59">
        <f>AW92+AX92</f>
        <v>0</v>
      </c>
      <c r="BD92" s="59">
        <f>H92/(100-BE92)*100</f>
        <v>0</v>
      </c>
      <c r="BE92" s="59">
        <v>0</v>
      </c>
      <c r="BF92" s="59">
        <f>92</f>
        <v>92</v>
      </c>
      <c r="BH92" s="43">
        <f>G92*AO92</f>
        <v>0</v>
      </c>
      <c r="BI92" s="43">
        <f>G92*AP92</f>
        <v>0</v>
      </c>
      <c r="BJ92" s="43">
        <f>G92*H92</f>
        <v>0</v>
      </c>
    </row>
    <row r="93" spans="1:12" ht="12.75">
      <c r="A93" s="68"/>
      <c r="B93" s="68"/>
      <c r="C93" s="153" t="s">
        <v>218</v>
      </c>
      <c r="D93" s="154"/>
      <c r="E93" s="154"/>
      <c r="F93" s="68"/>
      <c r="G93" s="69"/>
      <c r="H93" s="68"/>
      <c r="I93" s="68"/>
      <c r="J93" s="68"/>
      <c r="K93" s="68"/>
      <c r="L93" s="68"/>
    </row>
    <row r="94" spans="1:12" ht="12.75">
      <c r="A94" s="68"/>
      <c r="B94" s="68"/>
      <c r="C94" s="153" t="s">
        <v>219</v>
      </c>
      <c r="D94" s="154"/>
      <c r="E94" s="154"/>
      <c r="F94" s="68"/>
      <c r="G94" s="69">
        <v>20</v>
      </c>
      <c r="H94" s="68"/>
      <c r="I94" s="68"/>
      <c r="J94" s="68"/>
      <c r="K94" s="68"/>
      <c r="L94" s="68"/>
    </row>
    <row r="95" spans="1:47" ht="12.75">
      <c r="A95" s="64"/>
      <c r="B95" s="65" t="s">
        <v>125</v>
      </c>
      <c r="C95" s="150" t="s">
        <v>220</v>
      </c>
      <c r="D95" s="151"/>
      <c r="E95" s="151"/>
      <c r="F95" s="64" t="s">
        <v>73</v>
      </c>
      <c r="G95" s="64" t="s">
        <v>73</v>
      </c>
      <c r="H95" s="64" t="s">
        <v>73</v>
      </c>
      <c r="I95" s="66">
        <f>SUM(I96:I96)</f>
        <v>0</v>
      </c>
      <c r="J95" s="66">
        <f>SUM(J96:J96)</f>
        <v>0</v>
      </c>
      <c r="K95" s="66">
        <f>SUM(K96:K96)</f>
        <v>0</v>
      </c>
      <c r="L95" s="67"/>
      <c r="AI95" s="55"/>
      <c r="AS95" s="62">
        <f>SUM(AJ96:AJ96)</f>
        <v>0</v>
      </c>
      <c r="AT95" s="62">
        <f>SUM(AK96:AK96)</f>
        <v>0</v>
      </c>
      <c r="AU95" s="62">
        <f>SUM(AL96:AL96)</f>
        <v>0</v>
      </c>
    </row>
    <row r="96" spans="1:62" ht="12.75">
      <c r="A96" s="17" t="s">
        <v>92</v>
      </c>
      <c r="B96" s="17" t="s">
        <v>126</v>
      </c>
      <c r="C96" s="89" t="s">
        <v>221</v>
      </c>
      <c r="D96" s="152"/>
      <c r="E96" s="152"/>
      <c r="F96" s="17" t="s">
        <v>235</v>
      </c>
      <c r="G96" s="59">
        <v>311.3</v>
      </c>
      <c r="H96" s="59">
        <v>0</v>
      </c>
      <c r="I96" s="59">
        <f>G96*AO96</f>
        <v>0</v>
      </c>
      <c r="J96" s="59">
        <f>G96*AP96</f>
        <v>0</v>
      </c>
      <c r="K96" s="59">
        <f>G96*H96</f>
        <v>0</v>
      </c>
      <c r="L96" s="60" t="s">
        <v>255</v>
      </c>
      <c r="Z96" s="59">
        <f>IF(AQ96="5",BJ96,0)</f>
        <v>0</v>
      </c>
      <c r="AB96" s="59">
        <f>IF(AQ96="1",BH96,0)</f>
        <v>0</v>
      </c>
      <c r="AC96" s="59">
        <f>IF(AQ96="1",BI96,0)</f>
        <v>0</v>
      </c>
      <c r="AD96" s="59">
        <f>IF(AQ96="7",BH96,0)</f>
        <v>0</v>
      </c>
      <c r="AE96" s="59">
        <f>IF(AQ96="7",BI96,0)</f>
        <v>0</v>
      </c>
      <c r="AF96" s="59">
        <f>IF(AQ96="2",BH96,0)</f>
        <v>0</v>
      </c>
      <c r="AG96" s="59">
        <f>IF(AQ96="2",BI96,0)</f>
        <v>0</v>
      </c>
      <c r="AH96" s="59">
        <f>IF(AQ96="0",BJ96,0)</f>
        <v>0</v>
      </c>
      <c r="AI96" s="55"/>
      <c r="AJ96" s="43">
        <f>IF(AN96=0,K96,0)</f>
        <v>0</v>
      </c>
      <c r="AK96" s="43">
        <f>IF(AN96=15,K96,0)</f>
        <v>0</v>
      </c>
      <c r="AL96" s="43">
        <f>IF(AN96=21,K96,0)</f>
        <v>0</v>
      </c>
      <c r="AN96" s="59">
        <v>21</v>
      </c>
      <c r="AO96" s="59">
        <f>H96*0</f>
        <v>0</v>
      </c>
      <c r="AP96" s="59">
        <f>H96*(1-0)</f>
        <v>0</v>
      </c>
      <c r="AQ96" s="56" t="s">
        <v>78</v>
      </c>
      <c r="AV96" s="59">
        <f>AW96+AX96</f>
        <v>0</v>
      </c>
      <c r="AW96" s="59">
        <f>G96*AO96</f>
        <v>0</v>
      </c>
      <c r="AX96" s="59">
        <f>G96*AP96</f>
        <v>0</v>
      </c>
      <c r="AY96" s="60" t="s">
        <v>273</v>
      </c>
      <c r="AZ96" s="60" t="s">
        <v>279</v>
      </c>
      <c r="BA96" s="55" t="s">
        <v>281</v>
      </c>
      <c r="BC96" s="59">
        <f>AW96+AX96</f>
        <v>0</v>
      </c>
      <c r="BD96" s="59">
        <f>H96/(100-BE96)*100</f>
        <v>0</v>
      </c>
      <c r="BE96" s="59">
        <v>0</v>
      </c>
      <c r="BF96" s="59">
        <f>96</f>
        <v>96</v>
      </c>
      <c r="BH96" s="43">
        <f>G96*AO96</f>
        <v>0</v>
      </c>
      <c r="BI96" s="43">
        <f>G96*AP96</f>
        <v>0</v>
      </c>
      <c r="BJ96" s="43">
        <f>G96*H96</f>
        <v>0</v>
      </c>
    </row>
    <row r="97" spans="1:47" ht="12.75">
      <c r="A97" s="64"/>
      <c r="B97" s="65" t="s">
        <v>127</v>
      </c>
      <c r="C97" s="150" t="s">
        <v>222</v>
      </c>
      <c r="D97" s="151"/>
      <c r="E97" s="151"/>
      <c r="F97" s="64" t="s">
        <v>73</v>
      </c>
      <c r="G97" s="64" t="s">
        <v>73</v>
      </c>
      <c r="H97" s="64" t="s">
        <v>73</v>
      </c>
      <c r="I97" s="66">
        <f>SUM(I98:I104)</f>
        <v>0</v>
      </c>
      <c r="J97" s="66">
        <f>SUM(J98:J104)</f>
        <v>0</v>
      </c>
      <c r="K97" s="66">
        <f>SUM(K98:K104)</f>
        <v>0</v>
      </c>
      <c r="L97" s="67"/>
      <c r="AI97" s="55"/>
      <c r="AS97" s="62">
        <f>SUM(AJ98:AJ104)</f>
        <v>0</v>
      </c>
      <c r="AT97" s="62">
        <f>SUM(AK98:AK104)</f>
        <v>0</v>
      </c>
      <c r="AU97" s="62">
        <f>SUM(AL98:AL104)</f>
        <v>0</v>
      </c>
    </row>
    <row r="98" spans="1:62" ht="12.75">
      <c r="A98" s="17" t="s">
        <v>93</v>
      </c>
      <c r="B98" s="17" t="s">
        <v>128</v>
      </c>
      <c r="C98" s="89" t="s">
        <v>223</v>
      </c>
      <c r="D98" s="152"/>
      <c r="E98" s="152"/>
      <c r="F98" s="17" t="s">
        <v>235</v>
      </c>
      <c r="G98" s="59">
        <v>83.31339</v>
      </c>
      <c r="H98" s="59">
        <v>0</v>
      </c>
      <c r="I98" s="59">
        <f>G98*AO98</f>
        <v>0</v>
      </c>
      <c r="J98" s="59">
        <f>G98*AP98</f>
        <v>0</v>
      </c>
      <c r="K98" s="59">
        <f>G98*H98</f>
        <v>0</v>
      </c>
      <c r="L98" s="60" t="s">
        <v>255</v>
      </c>
      <c r="Z98" s="59">
        <f>IF(AQ98="5",BJ98,0)</f>
        <v>0</v>
      </c>
      <c r="AB98" s="59">
        <f>IF(AQ98="1",BH98,0)</f>
        <v>0</v>
      </c>
      <c r="AC98" s="59">
        <f>IF(AQ98="1",BI98,0)</f>
        <v>0</v>
      </c>
      <c r="AD98" s="59">
        <f>IF(AQ98="7",BH98,0)</f>
        <v>0</v>
      </c>
      <c r="AE98" s="59">
        <f>IF(AQ98="7",BI98,0)</f>
        <v>0</v>
      </c>
      <c r="AF98" s="59">
        <f>IF(AQ98="2",BH98,0)</f>
        <v>0</v>
      </c>
      <c r="AG98" s="59">
        <f>IF(AQ98="2",BI98,0)</f>
        <v>0</v>
      </c>
      <c r="AH98" s="59">
        <f>IF(AQ98="0",BJ98,0)</f>
        <v>0</v>
      </c>
      <c r="AI98" s="55"/>
      <c r="AJ98" s="43">
        <f>IF(AN98=0,K98,0)</f>
        <v>0</v>
      </c>
      <c r="AK98" s="43">
        <f>IF(AN98=15,K98,0)</f>
        <v>0</v>
      </c>
      <c r="AL98" s="43">
        <f>IF(AN98=21,K98,0)</f>
        <v>0</v>
      </c>
      <c r="AN98" s="59">
        <v>21</v>
      </c>
      <c r="AO98" s="59">
        <f>H98*0</f>
        <v>0</v>
      </c>
      <c r="AP98" s="59">
        <f>H98*(1-0)</f>
        <v>0</v>
      </c>
      <c r="AQ98" s="56" t="s">
        <v>78</v>
      </c>
      <c r="AV98" s="59">
        <f>AW98+AX98</f>
        <v>0</v>
      </c>
      <c r="AW98" s="59">
        <f>G98*AO98</f>
        <v>0</v>
      </c>
      <c r="AX98" s="59">
        <f>G98*AP98</f>
        <v>0</v>
      </c>
      <c r="AY98" s="60" t="s">
        <v>274</v>
      </c>
      <c r="AZ98" s="60" t="s">
        <v>279</v>
      </c>
      <c r="BA98" s="55" t="s">
        <v>281</v>
      </c>
      <c r="BC98" s="59">
        <f>AW98+AX98</f>
        <v>0</v>
      </c>
      <c r="BD98" s="59">
        <f>H98/(100-BE98)*100</f>
        <v>0</v>
      </c>
      <c r="BE98" s="59">
        <v>0</v>
      </c>
      <c r="BF98" s="59">
        <f>98</f>
        <v>98</v>
      </c>
      <c r="BH98" s="43">
        <f>G98*AO98</f>
        <v>0</v>
      </c>
      <c r="BI98" s="43">
        <f>G98*AP98</f>
        <v>0</v>
      </c>
      <c r="BJ98" s="43">
        <f>G98*H98</f>
        <v>0</v>
      </c>
    </row>
    <row r="99" spans="1:62" ht="12.75">
      <c r="A99" s="17" t="s">
        <v>94</v>
      </c>
      <c r="B99" s="17" t="s">
        <v>129</v>
      </c>
      <c r="C99" s="89" t="s">
        <v>224</v>
      </c>
      <c r="D99" s="152"/>
      <c r="E99" s="152"/>
      <c r="F99" s="17" t="s">
        <v>235</v>
      </c>
      <c r="G99" s="59">
        <v>1249.65</v>
      </c>
      <c r="H99" s="59">
        <v>0</v>
      </c>
      <c r="I99" s="59">
        <f>G99*AO99</f>
        <v>0</v>
      </c>
      <c r="J99" s="59">
        <f>G99*AP99</f>
        <v>0</v>
      </c>
      <c r="K99" s="59">
        <f>G99*H99</f>
        <v>0</v>
      </c>
      <c r="L99" s="60" t="s">
        <v>255</v>
      </c>
      <c r="Z99" s="59">
        <f>IF(AQ99="5",BJ99,0)</f>
        <v>0</v>
      </c>
      <c r="AB99" s="59">
        <f>IF(AQ99="1",BH99,0)</f>
        <v>0</v>
      </c>
      <c r="AC99" s="59">
        <f>IF(AQ99="1",BI99,0)</f>
        <v>0</v>
      </c>
      <c r="AD99" s="59">
        <f>IF(AQ99="7",BH99,0)</f>
        <v>0</v>
      </c>
      <c r="AE99" s="59">
        <f>IF(AQ99="7",BI99,0)</f>
        <v>0</v>
      </c>
      <c r="AF99" s="59">
        <f>IF(AQ99="2",BH99,0)</f>
        <v>0</v>
      </c>
      <c r="AG99" s="59">
        <f>IF(AQ99="2",BI99,0)</f>
        <v>0</v>
      </c>
      <c r="AH99" s="59">
        <f>IF(AQ99="0",BJ99,0)</f>
        <v>0</v>
      </c>
      <c r="AI99" s="55"/>
      <c r="AJ99" s="43">
        <f>IF(AN99=0,K99,0)</f>
        <v>0</v>
      </c>
      <c r="AK99" s="43">
        <f>IF(AN99=15,K99,0)</f>
        <v>0</v>
      </c>
      <c r="AL99" s="43">
        <f>IF(AN99=21,K99,0)</f>
        <v>0</v>
      </c>
      <c r="AN99" s="59">
        <v>21</v>
      </c>
      <c r="AO99" s="59">
        <f>H99*0</f>
        <v>0</v>
      </c>
      <c r="AP99" s="59">
        <f>H99*(1-0)</f>
        <v>0</v>
      </c>
      <c r="AQ99" s="56" t="s">
        <v>78</v>
      </c>
      <c r="AV99" s="59">
        <f>AW99+AX99</f>
        <v>0</v>
      </c>
      <c r="AW99" s="59">
        <f>G99*AO99</f>
        <v>0</v>
      </c>
      <c r="AX99" s="59">
        <f>G99*AP99</f>
        <v>0</v>
      </c>
      <c r="AY99" s="60" t="s">
        <v>274</v>
      </c>
      <c r="AZ99" s="60" t="s">
        <v>279</v>
      </c>
      <c r="BA99" s="55" t="s">
        <v>281</v>
      </c>
      <c r="BC99" s="59">
        <f>AW99+AX99</f>
        <v>0</v>
      </c>
      <c r="BD99" s="59">
        <f>H99/(100-BE99)*100</f>
        <v>0</v>
      </c>
      <c r="BE99" s="59">
        <v>0</v>
      </c>
      <c r="BF99" s="59">
        <f>99</f>
        <v>99</v>
      </c>
      <c r="BH99" s="43">
        <f>G99*AO99</f>
        <v>0</v>
      </c>
      <c r="BI99" s="43">
        <f>G99*AP99</f>
        <v>0</v>
      </c>
      <c r="BJ99" s="43">
        <f>G99*H99</f>
        <v>0</v>
      </c>
    </row>
    <row r="100" spans="1:12" ht="12.75">
      <c r="A100" s="68"/>
      <c r="B100" s="68"/>
      <c r="C100" s="153" t="s">
        <v>225</v>
      </c>
      <c r="D100" s="154"/>
      <c r="E100" s="154"/>
      <c r="F100" s="68"/>
      <c r="G100" s="69">
        <v>1249.65</v>
      </c>
      <c r="H100" s="68"/>
      <c r="I100" s="68"/>
      <c r="J100" s="68"/>
      <c r="K100" s="68"/>
      <c r="L100" s="68"/>
    </row>
    <row r="101" spans="1:62" ht="12.75">
      <c r="A101" s="17" t="s">
        <v>95</v>
      </c>
      <c r="B101" s="17" t="s">
        <v>130</v>
      </c>
      <c r="C101" s="89" t="s">
        <v>226</v>
      </c>
      <c r="D101" s="152"/>
      <c r="E101" s="152"/>
      <c r="F101" s="17" t="s">
        <v>235</v>
      </c>
      <c r="G101" s="59">
        <v>83.31</v>
      </c>
      <c r="H101" s="59">
        <v>0</v>
      </c>
      <c r="I101" s="59">
        <f>G101*AO101</f>
        <v>0</v>
      </c>
      <c r="J101" s="59">
        <f>G101*AP101</f>
        <v>0</v>
      </c>
      <c r="K101" s="59">
        <f>G101*H101</f>
        <v>0</v>
      </c>
      <c r="L101" s="60" t="s">
        <v>255</v>
      </c>
      <c r="Z101" s="59">
        <f>IF(AQ101="5",BJ101,0)</f>
        <v>0</v>
      </c>
      <c r="AB101" s="59">
        <f>IF(AQ101="1",BH101,0)</f>
        <v>0</v>
      </c>
      <c r="AC101" s="59">
        <f>IF(AQ101="1",BI101,0)</f>
        <v>0</v>
      </c>
      <c r="AD101" s="59">
        <f>IF(AQ101="7",BH101,0)</f>
        <v>0</v>
      </c>
      <c r="AE101" s="59">
        <f>IF(AQ101="7",BI101,0)</f>
        <v>0</v>
      </c>
      <c r="AF101" s="59">
        <f>IF(AQ101="2",BH101,0)</f>
        <v>0</v>
      </c>
      <c r="AG101" s="59">
        <f>IF(AQ101="2",BI101,0)</f>
        <v>0</v>
      </c>
      <c r="AH101" s="59">
        <f>IF(AQ101="0",BJ101,0)</f>
        <v>0</v>
      </c>
      <c r="AI101" s="55"/>
      <c r="AJ101" s="43">
        <f>IF(AN101=0,K101,0)</f>
        <v>0</v>
      </c>
      <c r="AK101" s="43">
        <f>IF(AN101=15,K101,0)</f>
        <v>0</v>
      </c>
      <c r="AL101" s="43">
        <f>IF(AN101=21,K101,0)</f>
        <v>0</v>
      </c>
      <c r="AN101" s="59">
        <v>21</v>
      </c>
      <c r="AO101" s="59">
        <f>H101*0</f>
        <v>0</v>
      </c>
      <c r="AP101" s="59">
        <f>H101*(1-0)</f>
        <v>0</v>
      </c>
      <c r="AQ101" s="56" t="s">
        <v>78</v>
      </c>
      <c r="AV101" s="59">
        <f>AW101+AX101</f>
        <v>0</v>
      </c>
      <c r="AW101" s="59">
        <f>G101*AO101</f>
        <v>0</v>
      </c>
      <c r="AX101" s="59">
        <f>G101*AP101</f>
        <v>0</v>
      </c>
      <c r="AY101" s="60" t="s">
        <v>274</v>
      </c>
      <c r="AZ101" s="60" t="s">
        <v>279</v>
      </c>
      <c r="BA101" s="55" t="s">
        <v>281</v>
      </c>
      <c r="BC101" s="59">
        <f>AW101+AX101</f>
        <v>0</v>
      </c>
      <c r="BD101" s="59">
        <f>H101/(100-BE101)*100</f>
        <v>0</v>
      </c>
      <c r="BE101" s="59">
        <v>0</v>
      </c>
      <c r="BF101" s="59">
        <f>101</f>
        <v>101</v>
      </c>
      <c r="BH101" s="43">
        <f>G101*AO101</f>
        <v>0</v>
      </c>
      <c r="BI101" s="43">
        <f>G101*AP101</f>
        <v>0</v>
      </c>
      <c r="BJ101" s="43">
        <f>G101*H101</f>
        <v>0</v>
      </c>
    </row>
    <row r="102" spans="1:62" ht="12.75">
      <c r="A102" s="17" t="s">
        <v>96</v>
      </c>
      <c r="B102" s="17" t="s">
        <v>131</v>
      </c>
      <c r="C102" s="89" t="s">
        <v>227</v>
      </c>
      <c r="D102" s="152"/>
      <c r="E102" s="152"/>
      <c r="F102" s="17" t="s">
        <v>235</v>
      </c>
      <c r="G102" s="59">
        <v>83.31</v>
      </c>
      <c r="H102" s="59">
        <v>0</v>
      </c>
      <c r="I102" s="59">
        <f>G102*AO102</f>
        <v>0</v>
      </c>
      <c r="J102" s="59">
        <f>G102*AP102</f>
        <v>0</v>
      </c>
      <c r="K102" s="59">
        <f>G102*H102</f>
        <v>0</v>
      </c>
      <c r="L102" s="60" t="s">
        <v>255</v>
      </c>
      <c r="Z102" s="59">
        <f>IF(AQ102="5",BJ102,0)</f>
        <v>0</v>
      </c>
      <c r="AB102" s="59">
        <f>IF(AQ102="1",BH102,0)</f>
        <v>0</v>
      </c>
      <c r="AC102" s="59">
        <f>IF(AQ102="1",BI102,0)</f>
        <v>0</v>
      </c>
      <c r="AD102" s="59">
        <f>IF(AQ102="7",BH102,0)</f>
        <v>0</v>
      </c>
      <c r="AE102" s="59">
        <f>IF(AQ102="7",BI102,0)</f>
        <v>0</v>
      </c>
      <c r="AF102" s="59">
        <f>IF(AQ102="2",BH102,0)</f>
        <v>0</v>
      </c>
      <c r="AG102" s="59">
        <f>IF(AQ102="2",BI102,0)</f>
        <v>0</v>
      </c>
      <c r="AH102" s="59">
        <f>IF(AQ102="0",BJ102,0)</f>
        <v>0</v>
      </c>
      <c r="AI102" s="55"/>
      <c r="AJ102" s="43">
        <f>IF(AN102=0,K102,0)</f>
        <v>0</v>
      </c>
      <c r="AK102" s="43">
        <f>IF(AN102=15,K102,0)</f>
        <v>0</v>
      </c>
      <c r="AL102" s="43">
        <f>IF(AN102=21,K102,0)</f>
        <v>0</v>
      </c>
      <c r="AN102" s="59">
        <v>21</v>
      </c>
      <c r="AO102" s="59">
        <f>H102*0</f>
        <v>0</v>
      </c>
      <c r="AP102" s="59">
        <f>H102*(1-0)</f>
        <v>0</v>
      </c>
      <c r="AQ102" s="56" t="s">
        <v>78</v>
      </c>
      <c r="AV102" s="59">
        <f>AW102+AX102</f>
        <v>0</v>
      </c>
      <c r="AW102" s="59">
        <f>G102*AO102</f>
        <v>0</v>
      </c>
      <c r="AX102" s="59">
        <f>G102*AP102</f>
        <v>0</v>
      </c>
      <c r="AY102" s="60" t="s">
        <v>274</v>
      </c>
      <c r="AZ102" s="60" t="s">
        <v>279</v>
      </c>
      <c r="BA102" s="55" t="s">
        <v>281</v>
      </c>
      <c r="BC102" s="59">
        <f>AW102+AX102</f>
        <v>0</v>
      </c>
      <c r="BD102" s="59">
        <f>H102/(100-BE102)*100</f>
        <v>0</v>
      </c>
      <c r="BE102" s="59">
        <v>0</v>
      </c>
      <c r="BF102" s="59">
        <f>102</f>
        <v>102</v>
      </c>
      <c r="BH102" s="43">
        <f>G102*AO102</f>
        <v>0</v>
      </c>
      <c r="BI102" s="43">
        <f>G102*AP102</f>
        <v>0</v>
      </c>
      <c r="BJ102" s="43">
        <f>G102*H102</f>
        <v>0</v>
      </c>
    </row>
    <row r="103" spans="1:62" ht="12.75">
      <c r="A103" s="17" t="s">
        <v>97</v>
      </c>
      <c r="B103" s="17" t="s">
        <v>132</v>
      </c>
      <c r="C103" s="89" t="s">
        <v>228</v>
      </c>
      <c r="D103" s="152"/>
      <c r="E103" s="152"/>
      <c r="F103" s="17" t="s">
        <v>235</v>
      </c>
      <c r="G103" s="59">
        <v>41</v>
      </c>
      <c r="H103" s="59">
        <v>0</v>
      </c>
      <c r="I103" s="59">
        <f>G103*AO103</f>
        <v>0</v>
      </c>
      <c r="J103" s="59">
        <f>G103*AP103</f>
        <v>0</v>
      </c>
      <c r="K103" s="59">
        <f>G103*H103</f>
        <v>0</v>
      </c>
      <c r="L103" s="60" t="s">
        <v>132</v>
      </c>
      <c r="Z103" s="59">
        <f>IF(AQ103="5",BJ103,0)</f>
        <v>0</v>
      </c>
      <c r="AB103" s="59">
        <f>IF(AQ103="1",BH103,0)</f>
        <v>0</v>
      </c>
      <c r="AC103" s="59">
        <f>IF(AQ103="1",BI103,0)</f>
        <v>0</v>
      </c>
      <c r="AD103" s="59">
        <f>IF(AQ103="7",BH103,0)</f>
        <v>0</v>
      </c>
      <c r="AE103" s="59">
        <f>IF(AQ103="7",BI103,0)</f>
        <v>0</v>
      </c>
      <c r="AF103" s="59">
        <f>IF(AQ103="2",BH103,0)</f>
        <v>0</v>
      </c>
      <c r="AG103" s="59">
        <f>IF(AQ103="2",BI103,0)</f>
        <v>0</v>
      </c>
      <c r="AH103" s="59">
        <f>IF(AQ103="0",BJ103,0)</f>
        <v>0</v>
      </c>
      <c r="AI103" s="55"/>
      <c r="AJ103" s="43">
        <f>IF(AN103=0,K103,0)</f>
        <v>0</v>
      </c>
      <c r="AK103" s="43">
        <f>IF(AN103=15,K103,0)</f>
        <v>0</v>
      </c>
      <c r="AL103" s="43">
        <f>IF(AN103=21,K103,0)</f>
        <v>0</v>
      </c>
      <c r="AN103" s="59">
        <v>21</v>
      </c>
      <c r="AO103" s="59">
        <f>H103*0</f>
        <v>0</v>
      </c>
      <c r="AP103" s="59">
        <f>H103*(1-0)</f>
        <v>0</v>
      </c>
      <c r="AQ103" s="56" t="s">
        <v>78</v>
      </c>
      <c r="AV103" s="59">
        <f>AW103+AX103</f>
        <v>0</v>
      </c>
      <c r="AW103" s="59">
        <f>G103*AO103</f>
        <v>0</v>
      </c>
      <c r="AX103" s="59">
        <f>G103*AP103</f>
        <v>0</v>
      </c>
      <c r="AY103" s="60" t="s">
        <v>274</v>
      </c>
      <c r="AZ103" s="60" t="s">
        <v>279</v>
      </c>
      <c r="BA103" s="55" t="s">
        <v>281</v>
      </c>
      <c r="BC103" s="59">
        <f>AW103+AX103</f>
        <v>0</v>
      </c>
      <c r="BD103" s="59">
        <f>H103/(100-BE103)*100</f>
        <v>0</v>
      </c>
      <c r="BE103" s="59">
        <v>0</v>
      </c>
      <c r="BF103" s="59">
        <f>103</f>
        <v>103</v>
      </c>
      <c r="BH103" s="43">
        <f>G103*AO103</f>
        <v>0</v>
      </c>
      <c r="BI103" s="43">
        <f>G103*AP103</f>
        <v>0</v>
      </c>
      <c r="BJ103" s="43">
        <f>G103*H103</f>
        <v>0</v>
      </c>
    </row>
    <row r="104" spans="1:62" ht="12.75">
      <c r="A104" s="17" t="s">
        <v>98</v>
      </c>
      <c r="B104" s="17" t="s">
        <v>133</v>
      </c>
      <c r="C104" s="89" t="s">
        <v>229</v>
      </c>
      <c r="D104" s="152"/>
      <c r="E104" s="152"/>
      <c r="F104" s="17" t="s">
        <v>235</v>
      </c>
      <c r="G104" s="59">
        <v>42.31</v>
      </c>
      <c r="H104" s="59">
        <v>0</v>
      </c>
      <c r="I104" s="59">
        <f>G104*AO104</f>
        <v>0</v>
      </c>
      <c r="J104" s="59">
        <f>G104*AP104</f>
        <v>0</v>
      </c>
      <c r="K104" s="59">
        <f>G104*H104</f>
        <v>0</v>
      </c>
      <c r="L104" s="60" t="s">
        <v>255</v>
      </c>
      <c r="Z104" s="59">
        <f>IF(AQ104="5",BJ104,0)</f>
        <v>0</v>
      </c>
      <c r="AB104" s="59">
        <f>IF(AQ104="1",BH104,0)</f>
        <v>0</v>
      </c>
      <c r="AC104" s="59">
        <f>IF(AQ104="1",BI104,0)</f>
        <v>0</v>
      </c>
      <c r="AD104" s="59">
        <f>IF(AQ104="7",BH104,0)</f>
        <v>0</v>
      </c>
      <c r="AE104" s="59">
        <f>IF(AQ104="7",BI104,0)</f>
        <v>0</v>
      </c>
      <c r="AF104" s="59">
        <f>IF(AQ104="2",BH104,0)</f>
        <v>0</v>
      </c>
      <c r="AG104" s="59">
        <f>IF(AQ104="2",BI104,0)</f>
        <v>0</v>
      </c>
      <c r="AH104" s="59">
        <f>IF(AQ104="0",BJ104,0)</f>
        <v>0</v>
      </c>
      <c r="AI104" s="55"/>
      <c r="AJ104" s="43">
        <f>IF(AN104=0,K104,0)</f>
        <v>0</v>
      </c>
      <c r="AK104" s="43">
        <f>IF(AN104=15,K104,0)</f>
        <v>0</v>
      </c>
      <c r="AL104" s="43">
        <f>IF(AN104=21,K104,0)</f>
        <v>0</v>
      </c>
      <c r="AN104" s="59">
        <v>21</v>
      </c>
      <c r="AO104" s="59">
        <f>H104*0</f>
        <v>0</v>
      </c>
      <c r="AP104" s="59">
        <f>H104*(1-0)</f>
        <v>0</v>
      </c>
      <c r="AQ104" s="56" t="s">
        <v>78</v>
      </c>
      <c r="AV104" s="59">
        <f>AW104+AX104</f>
        <v>0</v>
      </c>
      <c r="AW104" s="59">
        <f>G104*AO104</f>
        <v>0</v>
      </c>
      <c r="AX104" s="59">
        <f>G104*AP104</f>
        <v>0</v>
      </c>
      <c r="AY104" s="60" t="s">
        <v>274</v>
      </c>
      <c r="AZ104" s="60" t="s">
        <v>279</v>
      </c>
      <c r="BA104" s="55" t="s">
        <v>281</v>
      </c>
      <c r="BC104" s="59">
        <f>AW104+AX104</f>
        <v>0</v>
      </c>
      <c r="BD104" s="59">
        <f>H104/(100-BE104)*100</f>
        <v>0</v>
      </c>
      <c r="BE104" s="59">
        <v>0</v>
      </c>
      <c r="BF104" s="59">
        <f>104</f>
        <v>104</v>
      </c>
      <c r="BH104" s="43">
        <f>G104*AO104</f>
        <v>0</v>
      </c>
      <c r="BI104" s="43">
        <f>G104*AP104</f>
        <v>0</v>
      </c>
      <c r="BJ104" s="43">
        <f>G104*H104</f>
        <v>0</v>
      </c>
    </row>
    <row r="105" spans="1:12" ht="12.75">
      <c r="A105" s="68"/>
      <c r="B105" s="68"/>
      <c r="C105" s="153" t="s">
        <v>230</v>
      </c>
      <c r="D105" s="154"/>
      <c r="E105" s="154"/>
      <c r="F105" s="68"/>
      <c r="G105" s="69">
        <v>42.31</v>
      </c>
      <c r="H105" s="68"/>
      <c r="I105" s="68"/>
      <c r="J105" s="68"/>
      <c r="K105" s="68"/>
      <c r="L105" s="68"/>
    </row>
    <row r="106" spans="1:47" ht="12.75">
      <c r="A106" s="34"/>
      <c r="B106" s="41"/>
      <c r="C106" s="157" t="s">
        <v>10</v>
      </c>
      <c r="D106" s="151"/>
      <c r="E106" s="151"/>
      <c r="F106" s="34" t="s">
        <v>73</v>
      </c>
      <c r="G106" s="34" t="s">
        <v>73</v>
      </c>
      <c r="H106" s="34" t="s">
        <v>73</v>
      </c>
      <c r="I106" s="62">
        <f>SUM(I107:I121)</f>
        <v>0</v>
      </c>
      <c r="J106" s="62">
        <f>SUM(J107:J121)</f>
        <v>0</v>
      </c>
      <c r="K106" s="62">
        <f>SUM(K107:K121)</f>
        <v>0</v>
      </c>
      <c r="L106" s="55"/>
      <c r="AI106" s="55"/>
      <c r="AS106" s="62">
        <f>SUM(AJ107:AJ121)</f>
        <v>0</v>
      </c>
      <c r="AT106" s="62">
        <f>SUM(AK107:AK121)</f>
        <v>0</v>
      </c>
      <c r="AU106" s="62">
        <f>SUM(AL107:AL121)</f>
        <v>0</v>
      </c>
    </row>
    <row r="107" spans="1:62" ht="12.75">
      <c r="A107" s="35"/>
      <c r="B107" s="35"/>
      <c r="C107" s="158"/>
      <c r="D107" s="159"/>
      <c r="E107" s="159"/>
      <c r="F107" s="35" t="s">
        <v>241</v>
      </c>
      <c r="G107" s="45">
        <v>0</v>
      </c>
      <c r="H107" s="45">
        <v>0</v>
      </c>
      <c r="I107" s="45">
        <f>G107*AO107</f>
        <v>0</v>
      </c>
      <c r="J107" s="45">
        <f>G107*AP107</f>
        <v>0</v>
      </c>
      <c r="K107" s="45">
        <f>G107*H107</f>
        <v>0</v>
      </c>
      <c r="L107" s="57"/>
      <c r="Z107" s="59">
        <f>IF(AQ107="5",BJ107,0)</f>
        <v>0</v>
      </c>
      <c r="AB107" s="59">
        <f>IF(AQ107="1",BH107,0)</f>
        <v>0</v>
      </c>
      <c r="AC107" s="59">
        <f>IF(AQ107="1",BI107,0)</f>
        <v>0</v>
      </c>
      <c r="AD107" s="59">
        <f>IF(AQ107="7",BH107,0)</f>
        <v>0</v>
      </c>
      <c r="AE107" s="59">
        <f>IF(AQ107="7",BI107,0)</f>
        <v>0</v>
      </c>
      <c r="AF107" s="59">
        <f>IF(AQ107="2",BH107,0)</f>
        <v>0</v>
      </c>
      <c r="AG107" s="59">
        <f>IF(AQ107="2",BI107,0)</f>
        <v>0</v>
      </c>
      <c r="AH107" s="59">
        <f>IF(AQ107="0",BJ107,0)</f>
        <v>0</v>
      </c>
      <c r="AI107" s="55"/>
      <c r="AJ107" s="45">
        <f>IF(AN107=0,K107,0)</f>
        <v>0</v>
      </c>
      <c r="AK107" s="45">
        <f>IF(AN107=15,K107,0)</f>
        <v>0</v>
      </c>
      <c r="AL107" s="45">
        <f>IF(AN107=21,K107,0)</f>
        <v>0</v>
      </c>
      <c r="AN107" s="59">
        <v>21</v>
      </c>
      <c r="AO107" s="59">
        <f>H107*1</f>
        <v>0</v>
      </c>
      <c r="AP107" s="59">
        <f>H107*(1-1)</f>
        <v>0</v>
      </c>
      <c r="AQ107" s="57" t="s">
        <v>265</v>
      </c>
      <c r="AV107" s="59">
        <f>AW107+AX107</f>
        <v>0</v>
      </c>
      <c r="AW107" s="59">
        <f>G107*AO107</f>
        <v>0</v>
      </c>
      <c r="AX107" s="59">
        <f>G107*AP107</f>
        <v>0</v>
      </c>
      <c r="AY107" s="60" t="s">
        <v>275</v>
      </c>
      <c r="AZ107" s="60" t="s">
        <v>280</v>
      </c>
      <c r="BA107" s="55" t="s">
        <v>281</v>
      </c>
      <c r="BC107" s="59">
        <f>AW107+AX107</f>
        <v>0</v>
      </c>
      <c r="BD107" s="59">
        <f>H107/(100-BE107)*100</f>
        <v>0</v>
      </c>
      <c r="BE107" s="59">
        <v>0</v>
      </c>
      <c r="BF107" s="59">
        <f>107</f>
        <v>107</v>
      </c>
      <c r="BH107" s="45">
        <f>G107*AO107</f>
        <v>0</v>
      </c>
      <c r="BI107" s="45">
        <f>G107*AP107</f>
        <v>0</v>
      </c>
      <c r="BJ107" s="45">
        <f>G107*H107</f>
        <v>0</v>
      </c>
    </row>
    <row r="108" spans="3:7" ht="12.75">
      <c r="C108" s="160"/>
      <c r="D108" s="154"/>
      <c r="E108" s="154"/>
      <c r="G108" s="44"/>
    </row>
    <row r="109" spans="3:7" ht="12.75">
      <c r="C109" s="160"/>
      <c r="D109" s="154"/>
      <c r="E109" s="154"/>
      <c r="G109" s="44"/>
    </row>
    <row r="110" spans="3:7" ht="12.75">
      <c r="C110" s="160"/>
      <c r="D110" s="154"/>
      <c r="E110" s="154"/>
      <c r="G110" s="44"/>
    </row>
    <row r="111" spans="3:7" ht="12.75">
      <c r="C111" s="160"/>
      <c r="D111" s="154"/>
      <c r="E111" s="154"/>
      <c r="G111" s="44"/>
    </row>
    <row r="112" spans="3:7" ht="12.75">
      <c r="C112" s="160"/>
      <c r="D112" s="154"/>
      <c r="E112" s="154"/>
      <c r="G112" s="44">
        <v>0</v>
      </c>
    </row>
    <row r="113" spans="1:62" ht="12.75">
      <c r="A113" s="35"/>
      <c r="B113" s="35"/>
      <c r="C113" s="158"/>
      <c r="D113" s="159"/>
      <c r="E113" s="159"/>
      <c r="F113" s="35" t="s">
        <v>241</v>
      </c>
      <c r="G113" s="45">
        <v>0</v>
      </c>
      <c r="H113" s="45">
        <v>0</v>
      </c>
      <c r="I113" s="45">
        <f>G113*AO113</f>
        <v>0</v>
      </c>
      <c r="J113" s="45">
        <f>G113*AP113</f>
        <v>0</v>
      </c>
      <c r="K113" s="45">
        <f>G113*H113</f>
        <v>0</v>
      </c>
      <c r="L113" s="57"/>
      <c r="Z113" s="59">
        <f>IF(AQ113="5",BJ113,0)</f>
        <v>0</v>
      </c>
      <c r="AB113" s="59">
        <f>IF(AQ113="1",BH113,0)</f>
        <v>0</v>
      </c>
      <c r="AC113" s="59">
        <f>IF(AQ113="1",BI113,0)</f>
        <v>0</v>
      </c>
      <c r="AD113" s="59">
        <f>IF(AQ113="7",BH113,0)</f>
        <v>0</v>
      </c>
      <c r="AE113" s="59">
        <f>IF(AQ113="7",BI113,0)</f>
        <v>0</v>
      </c>
      <c r="AF113" s="59">
        <f>IF(AQ113="2",BH113,0)</f>
        <v>0</v>
      </c>
      <c r="AG113" s="59">
        <f>IF(AQ113="2",BI113,0)</f>
        <v>0</v>
      </c>
      <c r="AH113" s="59">
        <f>IF(AQ113="0",BJ113,0)</f>
        <v>0</v>
      </c>
      <c r="AI113" s="55"/>
      <c r="AJ113" s="45">
        <f>IF(AN113=0,K113,0)</f>
        <v>0</v>
      </c>
      <c r="AK113" s="45">
        <f>IF(AN113=15,K113,0)</f>
        <v>0</v>
      </c>
      <c r="AL113" s="45">
        <f>IF(AN113=21,K113,0)</f>
        <v>0</v>
      </c>
      <c r="AN113" s="59">
        <v>21</v>
      </c>
      <c r="AO113" s="59">
        <f>H113*1</f>
        <v>0</v>
      </c>
      <c r="AP113" s="59">
        <f>H113*(1-1)</f>
        <v>0</v>
      </c>
      <c r="AQ113" s="57" t="s">
        <v>265</v>
      </c>
      <c r="AV113" s="59">
        <f>AW113+AX113</f>
        <v>0</v>
      </c>
      <c r="AW113" s="59">
        <f>G113*AO113</f>
        <v>0</v>
      </c>
      <c r="AX113" s="59">
        <f>G113*AP113</f>
        <v>0</v>
      </c>
      <c r="AY113" s="60" t="s">
        <v>275</v>
      </c>
      <c r="AZ113" s="60" t="s">
        <v>280</v>
      </c>
      <c r="BA113" s="55" t="s">
        <v>281</v>
      </c>
      <c r="BC113" s="59">
        <f>AW113+AX113</f>
        <v>0</v>
      </c>
      <c r="BD113" s="59">
        <f>H113/(100-BE113)*100</f>
        <v>0</v>
      </c>
      <c r="BE113" s="59">
        <v>0</v>
      </c>
      <c r="BF113" s="59">
        <f>113</f>
        <v>113</v>
      </c>
      <c r="BH113" s="45">
        <f>G113*AO113</f>
        <v>0</v>
      </c>
      <c r="BI113" s="45">
        <f>G113*AP113</f>
        <v>0</v>
      </c>
      <c r="BJ113" s="45">
        <f>G113*H113</f>
        <v>0</v>
      </c>
    </row>
    <row r="114" spans="3:7" ht="12.75">
      <c r="C114" s="160"/>
      <c r="D114" s="154"/>
      <c r="E114" s="154"/>
      <c r="G114" s="44"/>
    </row>
    <row r="115" spans="3:7" ht="12.75">
      <c r="C115" s="160"/>
      <c r="D115" s="154"/>
      <c r="E115" s="154"/>
      <c r="G115" s="44"/>
    </row>
    <row r="116" spans="3:7" ht="12.75">
      <c r="C116" s="160"/>
      <c r="D116" s="154"/>
      <c r="E116" s="154"/>
      <c r="G116" s="44"/>
    </row>
    <row r="117" spans="3:7" ht="12.75">
      <c r="C117" s="160"/>
      <c r="D117" s="154"/>
      <c r="E117" s="154"/>
      <c r="G117" s="44"/>
    </row>
    <row r="118" spans="3:7" ht="12.75">
      <c r="C118" s="160"/>
      <c r="D118" s="154"/>
      <c r="E118" s="154"/>
      <c r="G118" s="44"/>
    </row>
    <row r="119" spans="3:7" ht="12.75">
      <c r="C119" s="160"/>
      <c r="D119" s="154"/>
      <c r="E119" s="154"/>
      <c r="G119" s="44"/>
    </row>
    <row r="120" spans="3:7" ht="12.75">
      <c r="C120" s="160"/>
      <c r="D120" s="154"/>
      <c r="E120" s="154"/>
      <c r="G120" s="44">
        <v>0</v>
      </c>
    </row>
    <row r="121" spans="1:62" ht="12.75">
      <c r="A121" s="36"/>
      <c r="B121" s="36"/>
      <c r="C121" s="161"/>
      <c r="D121" s="162"/>
      <c r="E121" s="162"/>
      <c r="F121" s="36" t="s">
        <v>241</v>
      </c>
      <c r="G121" s="46">
        <v>0</v>
      </c>
      <c r="H121" s="46">
        <v>0</v>
      </c>
      <c r="I121" s="46">
        <f>G121*AO121</f>
        <v>0</v>
      </c>
      <c r="J121" s="46">
        <f>G121*AP121</f>
        <v>0</v>
      </c>
      <c r="K121" s="46">
        <f>G121*H121</f>
        <v>0</v>
      </c>
      <c r="L121" s="58"/>
      <c r="Z121" s="59">
        <f>IF(AQ121="5",BJ121,0)</f>
        <v>0</v>
      </c>
      <c r="AB121" s="59">
        <f>IF(AQ121="1",BH121,0)</f>
        <v>0</v>
      </c>
      <c r="AC121" s="59">
        <f>IF(AQ121="1",BI121,0)</f>
        <v>0</v>
      </c>
      <c r="AD121" s="59">
        <f>IF(AQ121="7",BH121,0)</f>
        <v>0</v>
      </c>
      <c r="AE121" s="59">
        <f>IF(AQ121="7",BI121,0)</f>
        <v>0</v>
      </c>
      <c r="AF121" s="59">
        <f>IF(AQ121="2",BH121,0)</f>
        <v>0</v>
      </c>
      <c r="AG121" s="59">
        <f>IF(AQ121="2",BI121,0)</f>
        <v>0</v>
      </c>
      <c r="AH121" s="59">
        <f>IF(AQ121="0",BJ121,0)</f>
        <v>0</v>
      </c>
      <c r="AI121" s="55"/>
      <c r="AJ121" s="45">
        <f>IF(AN121=0,K121,0)</f>
        <v>0</v>
      </c>
      <c r="AK121" s="45">
        <f>IF(AN121=15,K121,0)</f>
        <v>0</v>
      </c>
      <c r="AL121" s="45">
        <f>IF(AN121=21,K121,0)</f>
        <v>0</v>
      </c>
      <c r="AN121" s="59">
        <v>21</v>
      </c>
      <c r="AO121" s="59">
        <f>H121*1</f>
        <v>0</v>
      </c>
      <c r="AP121" s="59">
        <f>H121*(1-1)</f>
        <v>0</v>
      </c>
      <c r="AQ121" s="57" t="s">
        <v>265</v>
      </c>
      <c r="AV121" s="59">
        <f>AW121+AX121</f>
        <v>0</v>
      </c>
      <c r="AW121" s="59">
        <f>G121*AO121</f>
        <v>0</v>
      </c>
      <c r="AX121" s="59">
        <f>G121*AP121</f>
        <v>0</v>
      </c>
      <c r="AY121" s="60" t="s">
        <v>275</v>
      </c>
      <c r="AZ121" s="60" t="s">
        <v>280</v>
      </c>
      <c r="BA121" s="55" t="s">
        <v>281</v>
      </c>
      <c r="BC121" s="59">
        <f>AW121+AX121</f>
        <v>0</v>
      </c>
      <c r="BD121" s="59">
        <f>H121/(100-BE121)*100</f>
        <v>0</v>
      </c>
      <c r="BE121" s="59">
        <v>0</v>
      </c>
      <c r="BF121" s="59">
        <f>121</f>
        <v>121</v>
      </c>
      <c r="BH121" s="45">
        <f>G121*AO121</f>
        <v>0</v>
      </c>
      <c r="BI121" s="45">
        <f>G121*AP121</f>
        <v>0</v>
      </c>
      <c r="BJ121" s="45">
        <f>G121*H121</f>
        <v>0</v>
      </c>
    </row>
    <row r="122" spans="1:12" ht="12.75">
      <c r="A122" s="5"/>
      <c r="B122" s="5"/>
      <c r="C122" s="5"/>
      <c r="D122" s="5"/>
      <c r="E122" s="5"/>
      <c r="F122" s="5"/>
      <c r="G122" s="5"/>
      <c r="H122" s="5"/>
      <c r="I122" s="163" t="s">
        <v>251</v>
      </c>
      <c r="J122" s="81"/>
      <c r="K122" s="63">
        <f>K13+K38+K42+K56+K60+K63+K91+K95+K97+K106</f>
        <v>0</v>
      </c>
      <c r="L122" s="5"/>
    </row>
    <row r="123" ht="11.25" customHeight="1">
      <c r="A123" s="37" t="s">
        <v>18</v>
      </c>
    </row>
    <row r="124" spans="1:12" ht="12.75">
      <c r="A124" s="87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</row>
  </sheetData>
  <sheetProtection/>
  <mergeCells count="140">
    <mergeCell ref="A124:L124"/>
    <mergeCell ref="C117:E117"/>
    <mergeCell ref="C118:E118"/>
    <mergeCell ref="C119:E119"/>
    <mergeCell ref="C120:E120"/>
    <mergeCell ref="C121:E121"/>
    <mergeCell ref="I122:J122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10:E10"/>
    <mergeCell ref="I10:K10"/>
    <mergeCell ref="C11:E11"/>
    <mergeCell ref="C12:E12"/>
    <mergeCell ref="C13:E13"/>
    <mergeCell ref="C14:E14"/>
    <mergeCell ref="A8:B9"/>
    <mergeCell ref="C8:C9"/>
    <mergeCell ref="D8:E9"/>
    <mergeCell ref="F8:G9"/>
    <mergeCell ref="H8:H9"/>
    <mergeCell ref="I8:L9"/>
    <mergeCell ref="A6:B7"/>
    <mergeCell ref="C6:C7"/>
    <mergeCell ref="D6:E7"/>
    <mergeCell ref="F6:G7"/>
    <mergeCell ref="H6:H7"/>
    <mergeCell ref="I6:L7"/>
    <mergeCell ref="A4:B5"/>
    <mergeCell ref="C4:C5"/>
    <mergeCell ref="D4:E5"/>
    <mergeCell ref="F4:G5"/>
    <mergeCell ref="H4:H5"/>
    <mergeCell ref="I4:L5"/>
    <mergeCell ref="A1:L1"/>
    <mergeCell ref="A2:B3"/>
    <mergeCell ref="C2:C3"/>
    <mergeCell ref="D2:E3"/>
    <mergeCell ref="F2:G3"/>
    <mergeCell ref="H2:H3"/>
    <mergeCell ref="I2:L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Straka</dc:creator>
  <cp:keywords/>
  <dc:description/>
  <cp:lastModifiedBy>Ing. Jiří Straka</cp:lastModifiedBy>
  <dcterms:created xsi:type="dcterms:W3CDTF">2021-04-27T05:44:08Z</dcterms:created>
  <dcterms:modified xsi:type="dcterms:W3CDTF">2021-04-27T05:56:34Z</dcterms:modified>
  <cp:category/>
  <cp:version/>
  <cp:contentType/>
  <cp:contentStatus/>
</cp:coreProperties>
</file>