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59_MVJ_Telč_Expozice\01 Výzva k podání nabídek\Příloha č. 1 Výzvy_Projektová dokumentace_Soupis dodávek a prací\"/>
    </mc:Choice>
  </mc:AlternateContent>
  <bookViews>
    <workbookView xWindow="0" yWindow="0" windowWidth="28940" windowHeight="16100" tabRatio="890"/>
  </bookViews>
  <sheets>
    <sheet name="00_SOUHRNNÝ LIST" sheetId="20" r:id="rId1"/>
    <sheet name="00_SHRNUTÍ EXPOZIC" sheetId="17" r:id="rId2"/>
    <sheet name="01_NA POČÁTKU BYL KÁMEN" sheetId="7" r:id="rId3"/>
    <sheet name="02_KŘEHKÁ KRÁSA I" sheetId="14" r:id="rId4"/>
    <sheet name="03_KŘEHKÁ KRÁSA II" sheetId="9" r:id="rId5"/>
    <sheet name="04_KRAJINA NA HOUPAČCE I" sheetId="10" r:id="rId6"/>
    <sheet name="05_KRAJINA NA HOUPAČCE II" sheetId="8" r:id="rId7"/>
    <sheet name="06_UČEBNA" sheetId="13" r:id="rId8"/>
    <sheet name="07_CHODBA" sheetId="11" r:id="rId9"/>
  </sheets>
  <definedNames>
    <definedName name="_xlnm.Print_Titles" localSheetId="2">'01_NA POČÁTKU BYL KÁMEN'!$12:$13</definedName>
    <definedName name="_xlnm.Print_Titles" localSheetId="3">'02_KŘEHKÁ KRÁSA I'!$12:$13</definedName>
    <definedName name="_xlnm.Print_Titles" localSheetId="4">'03_KŘEHKÁ KRÁSA II'!$12:$13</definedName>
    <definedName name="_xlnm.Print_Titles" localSheetId="5">'04_KRAJINA NA HOUPAČCE I'!$12:$13</definedName>
    <definedName name="_xlnm.Print_Titles" localSheetId="6">'05_KRAJINA NA HOUPAČCE II'!$12:$13</definedName>
    <definedName name="_xlnm.Print_Titles" localSheetId="7">'06_UČEBNA'!$12:$13</definedName>
    <definedName name="_xlnm.Print_Titles" localSheetId="8">'07_CHODBA'!$12:$13</definedName>
    <definedName name="_xlnm.Print_Area" localSheetId="0">'00_SOUHRNNÝ LIST'!$A$1:$N$61</definedName>
    <definedName name="_xlnm.Print_Area" localSheetId="6">'05_KRAJINA NA HOUPAČCE II'!$A$1:$N$221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6" i="20" l="1"/>
  <c r="L52" i="20"/>
  <c r="L50" i="20"/>
  <c r="M50" i="20"/>
  <c r="N17" i="17" l="1"/>
  <c r="N16" i="17"/>
  <c r="N15" i="17"/>
  <c r="N14" i="17"/>
  <c r="N13" i="17"/>
  <c r="M13" i="17"/>
  <c r="L13" i="17"/>
  <c r="K13" i="17"/>
  <c r="J13" i="17"/>
  <c r="I13" i="17"/>
  <c r="H13" i="17"/>
  <c r="G13" i="17"/>
  <c r="M17" i="17"/>
  <c r="L17" i="17"/>
  <c r="K17" i="17"/>
  <c r="J17" i="17"/>
  <c r="I17" i="17"/>
  <c r="H17" i="17"/>
  <c r="G17" i="17"/>
  <c r="F17" i="17"/>
  <c r="M16" i="17"/>
  <c r="L16" i="17"/>
  <c r="K16" i="17"/>
  <c r="J16" i="17"/>
  <c r="I16" i="17"/>
  <c r="H16" i="17"/>
  <c r="G16" i="17"/>
  <c r="F16" i="17"/>
  <c r="M15" i="17"/>
  <c r="L15" i="17"/>
  <c r="K15" i="17"/>
  <c r="J15" i="17"/>
  <c r="I15" i="17"/>
  <c r="H15" i="17"/>
  <c r="G15" i="17"/>
  <c r="F15" i="17"/>
  <c r="M14" i="17"/>
  <c r="L14" i="17"/>
  <c r="K14" i="17"/>
  <c r="J14" i="17"/>
  <c r="I14" i="17"/>
  <c r="H14" i="17"/>
  <c r="G14" i="17"/>
  <c r="F14" i="17"/>
  <c r="F13" i="17"/>
  <c r="M49" i="20" l="1"/>
  <c r="L49" i="20"/>
  <c r="M93" i="17" l="1"/>
  <c r="L93" i="17"/>
  <c r="M9" i="11" l="1"/>
  <c r="M78" i="11"/>
  <c r="L76" i="11"/>
  <c r="L9" i="11" s="1"/>
  <c r="M76" i="11"/>
  <c r="L74" i="11"/>
  <c r="L60" i="11"/>
  <c r="L67" i="11"/>
  <c r="M62" i="11"/>
  <c r="M64" i="11" s="1"/>
  <c r="L62" i="11"/>
  <c r="L64" i="11" s="1"/>
  <c r="M57" i="11"/>
  <c r="M55" i="11"/>
  <c r="M51" i="11"/>
  <c r="M44" i="11"/>
  <c r="M33" i="11"/>
  <c r="L31" i="11"/>
  <c r="L33" i="11" s="1"/>
  <c r="M29" i="11"/>
  <c r="L29" i="11"/>
  <c r="L27" i="11"/>
  <c r="M25" i="11"/>
  <c r="L25" i="11"/>
  <c r="L23" i="11"/>
  <c r="M20" i="11"/>
  <c r="M21" i="11" s="1"/>
  <c r="L16" i="11"/>
  <c r="L17" i="13"/>
  <c r="M85" i="13"/>
  <c r="M87" i="13" s="1"/>
  <c r="M78" i="13"/>
  <c r="L78" i="13"/>
  <c r="L74" i="13"/>
  <c r="L80" i="13" s="1"/>
  <c r="L8" i="13" s="1"/>
  <c r="M74" i="13"/>
  <c r="M80" i="13" s="1"/>
  <c r="M8" i="13" s="1"/>
  <c r="M65" i="13"/>
  <c r="M67" i="13" s="1"/>
  <c r="L63" i="13"/>
  <c r="L65" i="13" s="1"/>
  <c r="L67" i="13" s="1"/>
  <c r="M58" i="13"/>
  <c r="M60" i="13" s="1"/>
  <c r="L56" i="13"/>
  <c r="L58" i="13" s="1"/>
  <c r="L60" i="13" s="1"/>
  <c r="M51" i="13"/>
  <c r="L49" i="13"/>
  <c r="L51" i="13" s="1"/>
  <c r="M47" i="13"/>
  <c r="M43" i="13"/>
  <c r="L41" i="13"/>
  <c r="L28" i="13"/>
  <c r="L27" i="13"/>
  <c r="L30" i="13" s="1"/>
  <c r="L23" i="13"/>
  <c r="L25" i="13" s="1"/>
  <c r="L33" i="13"/>
  <c r="M35" i="13"/>
  <c r="M30" i="13"/>
  <c r="M25" i="13"/>
  <c r="M21" i="13"/>
  <c r="L19" i="13"/>
  <c r="L21" i="13" s="1"/>
  <c r="M17" i="13"/>
  <c r="L15" i="13"/>
  <c r="M162" i="8"/>
  <c r="M158" i="8"/>
  <c r="M151" i="8"/>
  <c r="L151" i="8"/>
  <c r="M147" i="8"/>
  <c r="L147" i="8"/>
  <c r="M137" i="8"/>
  <c r="M135" i="8"/>
  <c r="M128" i="8"/>
  <c r="L126" i="8"/>
  <c r="L128" i="8" s="1"/>
  <c r="M124" i="8"/>
  <c r="M120" i="8"/>
  <c r="M130" i="8" s="1"/>
  <c r="M116" i="8"/>
  <c r="L116" i="8"/>
  <c r="L114" i="8"/>
  <c r="M109" i="8"/>
  <c r="L107" i="8"/>
  <c r="L106" i="8"/>
  <c r="M97" i="8"/>
  <c r="L97" i="8"/>
  <c r="L95" i="8"/>
  <c r="M93" i="8"/>
  <c r="L91" i="8"/>
  <c r="L93" i="8" s="1"/>
  <c r="L89" i="8"/>
  <c r="L87" i="8"/>
  <c r="M84" i="8"/>
  <c r="M85" i="8" s="1"/>
  <c r="L82" i="8"/>
  <c r="M73" i="8"/>
  <c r="L71" i="8"/>
  <c r="M62" i="8"/>
  <c r="L60" i="8"/>
  <c r="M51" i="8"/>
  <c r="M40" i="8"/>
  <c r="L38" i="8"/>
  <c r="L27" i="8"/>
  <c r="L26" i="8"/>
  <c r="L29" i="8" s="1"/>
  <c r="M29" i="8"/>
  <c r="M24" i="8"/>
  <c r="L21" i="8"/>
  <c r="M161" i="10"/>
  <c r="L161" i="10"/>
  <c r="M157" i="10"/>
  <c r="L157" i="10"/>
  <c r="L163" i="10" s="1"/>
  <c r="L8" i="10" s="1"/>
  <c r="M145" i="10"/>
  <c r="M147" i="10" s="1"/>
  <c r="M138" i="10"/>
  <c r="M134" i="10"/>
  <c r="M130" i="10"/>
  <c r="M126" i="10"/>
  <c r="L136" i="10"/>
  <c r="L138" i="10" s="1"/>
  <c r="L124" i="10"/>
  <c r="L126" i="10" s="1"/>
  <c r="M119" i="10"/>
  <c r="L117" i="10"/>
  <c r="L116" i="10"/>
  <c r="M107" i="10"/>
  <c r="L105" i="10"/>
  <c r="L107" i="10" s="1"/>
  <c r="M103" i="10"/>
  <c r="L101" i="10"/>
  <c r="L99" i="10"/>
  <c r="L97" i="10"/>
  <c r="M95" i="10"/>
  <c r="L93" i="10"/>
  <c r="M84" i="10"/>
  <c r="L82" i="10"/>
  <c r="M73" i="10"/>
  <c r="L71" i="10"/>
  <c r="M62" i="10"/>
  <c r="M51" i="10"/>
  <c r="L49" i="10"/>
  <c r="M40" i="10"/>
  <c r="L38" i="10"/>
  <c r="M29" i="10"/>
  <c r="L26" i="10"/>
  <c r="M24" i="10"/>
  <c r="L21" i="10"/>
  <c r="M83" i="9"/>
  <c r="M85" i="9" s="1"/>
  <c r="M76" i="9"/>
  <c r="M78" i="9" s="1"/>
  <c r="M68" i="9"/>
  <c r="M71" i="9" s="1"/>
  <c r="M53" i="9"/>
  <c r="M57" i="9"/>
  <c r="M63" i="9" s="1"/>
  <c r="M61" i="9"/>
  <c r="L59" i="9"/>
  <c r="L61" i="9" s="1"/>
  <c r="L50" i="14"/>
  <c r="L52" i="14" s="1"/>
  <c r="M46" i="9"/>
  <c r="M41" i="9"/>
  <c r="L39" i="9"/>
  <c r="L37" i="9"/>
  <c r="M27" i="9"/>
  <c r="M48" i="9" s="1"/>
  <c r="L23" i="9"/>
  <c r="L25" i="9"/>
  <c r="M81" i="14"/>
  <c r="L81" i="14"/>
  <c r="L79" i="14"/>
  <c r="M77" i="14"/>
  <c r="M83" i="14" s="1"/>
  <c r="M72" i="14"/>
  <c r="M8" i="14" s="1"/>
  <c r="M70" i="14"/>
  <c r="L70" i="14"/>
  <c r="L72" i="14" s="1"/>
  <c r="L8" i="14" s="1"/>
  <c r="M60" i="14"/>
  <c r="M62" i="14" s="1"/>
  <c r="M52" i="14"/>
  <c r="M48" i="14"/>
  <c r="M44" i="14"/>
  <c r="M54" i="14" s="1"/>
  <c r="L35" i="14"/>
  <c r="L34" i="14"/>
  <c r="L23" i="14"/>
  <c r="L22" i="14"/>
  <c r="M37" i="14"/>
  <c r="M25" i="14"/>
  <c r="M39" i="14" s="1"/>
  <c r="L74" i="7"/>
  <c r="L76" i="7" s="1"/>
  <c r="M83" i="7"/>
  <c r="M85" i="7" s="1"/>
  <c r="M93" i="7"/>
  <c r="L93" i="7"/>
  <c r="M53" i="13" l="1"/>
  <c r="M121" i="10"/>
  <c r="M140" i="10"/>
  <c r="L103" i="10"/>
  <c r="M46" i="11"/>
  <c r="L78" i="11"/>
  <c r="L153" i="8"/>
  <c r="L8" i="8" s="1"/>
  <c r="M153" i="8"/>
  <c r="M8" i="8" s="1"/>
  <c r="M163" i="10"/>
  <c r="M8" i="10" s="1"/>
  <c r="M76" i="7" l="1"/>
  <c r="M72" i="7"/>
  <c r="M68" i="7"/>
  <c r="M61" i="7"/>
  <c r="M78" i="7" l="1"/>
  <c r="M48" i="20"/>
  <c r="M47" i="20" l="1"/>
  <c r="L47" i="20"/>
  <c r="L48" i="20"/>
  <c r="L66" i="9" l="1"/>
  <c r="L68" i="9" s="1"/>
  <c r="L71" i="9" s="1"/>
  <c r="J59" i="7" l="1"/>
  <c r="L59" i="7" l="1"/>
  <c r="M218" i="8"/>
  <c r="L216" i="8"/>
  <c r="L218" i="8" s="1"/>
  <c r="M214" i="8"/>
  <c r="L212" i="8"/>
  <c r="L214" i="8" s="1"/>
  <c r="M210" i="8"/>
  <c r="L208" i="8"/>
  <c r="L210" i="8" s="1"/>
  <c r="M216" i="10"/>
  <c r="L214" i="10"/>
  <c r="L216" i="10" s="1"/>
  <c r="M212" i="10"/>
  <c r="L210" i="10"/>
  <c r="L212" i="10" s="1"/>
  <c r="M208" i="10"/>
  <c r="L206" i="10"/>
  <c r="L208" i="10" s="1"/>
  <c r="M206" i="8"/>
  <c r="L204" i="8"/>
  <c r="L206" i="8" s="1"/>
  <c r="M202" i="8"/>
  <c r="L200" i="8"/>
  <c r="L202" i="8" s="1"/>
  <c r="M198" i="8"/>
  <c r="L196" i="8"/>
  <c r="L198" i="8" s="1"/>
  <c r="M194" i="8"/>
  <c r="L192" i="8"/>
  <c r="L194" i="8" s="1"/>
  <c r="M190" i="8"/>
  <c r="L188" i="8"/>
  <c r="L190" i="8" s="1"/>
  <c r="M186" i="8"/>
  <c r="L184" i="8"/>
  <c r="L186" i="8" s="1"/>
  <c r="M182" i="8"/>
  <c r="L180" i="8"/>
  <c r="L182" i="8" s="1"/>
  <c r="M178" i="8"/>
  <c r="L176" i="8"/>
  <c r="L178" i="8" s="1"/>
  <c r="M174" i="8"/>
  <c r="L172" i="8"/>
  <c r="L174" i="8" s="1"/>
  <c r="M170" i="8"/>
  <c r="L168" i="8"/>
  <c r="L170" i="8" s="1"/>
  <c r="M166" i="8"/>
  <c r="L164" i="8"/>
  <c r="L166" i="8" s="1"/>
  <c r="L160" i="8"/>
  <c r="L162" i="8" s="1"/>
  <c r="L156" i="8"/>
  <c r="L158" i="8" s="1"/>
  <c r="L190" i="10"/>
  <c r="L192" i="10" s="1"/>
  <c r="L186" i="10"/>
  <c r="L188" i="10" s="1"/>
  <c r="L182" i="10"/>
  <c r="L184" i="10" s="1"/>
  <c r="L178" i="10"/>
  <c r="L180" i="10" s="1"/>
  <c r="L174" i="10"/>
  <c r="L176" i="10" s="1"/>
  <c r="L170" i="10"/>
  <c r="L172" i="10" s="1"/>
  <c r="L166" i="10"/>
  <c r="M204" i="10"/>
  <c r="L202" i="10"/>
  <c r="L204" i="10" s="1"/>
  <c r="M200" i="10"/>
  <c r="L198" i="10"/>
  <c r="L200" i="10" s="1"/>
  <c r="M196" i="10"/>
  <c r="L194" i="10"/>
  <c r="L196" i="10" s="1"/>
  <c r="M192" i="10"/>
  <c r="M188" i="10"/>
  <c r="M184" i="10"/>
  <c r="M180" i="10"/>
  <c r="M176" i="10"/>
  <c r="M172" i="10"/>
  <c r="M220" i="8" l="1"/>
  <c r="M9" i="8" s="1"/>
  <c r="L220" i="8"/>
  <c r="L9" i="8" s="1"/>
  <c r="J143" i="10"/>
  <c r="L143" i="10" s="1"/>
  <c r="L145" i="10" s="1"/>
  <c r="L147" i="10" s="1"/>
  <c r="J133" i="8"/>
  <c r="L133" i="8" s="1"/>
  <c r="L135" i="8" s="1"/>
  <c r="L137" i="8" s="1"/>
  <c r="J99" i="8"/>
  <c r="L99" i="8" s="1"/>
  <c r="J109" i="10"/>
  <c r="L109" i="10" s="1"/>
  <c r="J51" i="9"/>
  <c r="L51" i="9" s="1"/>
  <c r="L53" i="9" s="1"/>
  <c r="J55" i="9"/>
  <c r="L55" i="9" s="1"/>
  <c r="J32" i="14"/>
  <c r="L32" i="14" s="1"/>
  <c r="J31" i="14"/>
  <c r="L31" i="14" s="1"/>
  <c r="J29" i="14"/>
  <c r="L29" i="14" s="1"/>
  <c r="J27" i="14"/>
  <c r="L27" i="14" s="1"/>
  <c r="J51" i="7"/>
  <c r="J35" i="7"/>
  <c r="J21" i="7"/>
  <c r="J20" i="7"/>
  <c r="L37" i="14" l="1"/>
  <c r="J18" i="7"/>
  <c r="J19" i="7"/>
  <c r="L19" i="7"/>
  <c r="J81" i="7" l="1"/>
  <c r="L81" i="7" s="1"/>
  <c r="L83" i="7" s="1"/>
  <c r="L85" i="7" s="1"/>
  <c r="J70" i="7"/>
  <c r="L70" i="7" s="1"/>
  <c r="L72" i="7" s="1"/>
  <c r="J66" i="7"/>
  <c r="L66" i="7" s="1"/>
  <c r="L68" i="7" s="1"/>
  <c r="L78" i="7" s="1"/>
  <c r="J39" i="11"/>
  <c r="J40" i="11" s="1"/>
  <c r="J37" i="11"/>
  <c r="J36" i="11"/>
  <c r="J35" i="11"/>
  <c r="J53" i="11"/>
  <c r="L53" i="11" s="1"/>
  <c r="L55" i="11" s="1"/>
  <c r="L57" i="11" s="1"/>
  <c r="J49" i="11"/>
  <c r="L49" i="11" s="1"/>
  <c r="L51" i="11" s="1"/>
  <c r="J18" i="11"/>
  <c r="L18" i="11" s="1"/>
  <c r="J15" i="11"/>
  <c r="L15" i="11" s="1"/>
  <c r="J39" i="13"/>
  <c r="L39" i="13" s="1"/>
  <c r="J37" i="13"/>
  <c r="L37" i="13" s="1"/>
  <c r="J45" i="13"/>
  <c r="L45" i="13" s="1"/>
  <c r="L47" i="13" s="1"/>
  <c r="J128" i="10"/>
  <c r="L128" i="10" s="1"/>
  <c r="L130" i="10" s="1"/>
  <c r="J118" i="8"/>
  <c r="L118" i="8" s="1"/>
  <c r="L120" i="8" s="1"/>
  <c r="L130" i="8" s="1"/>
  <c r="J122" i="8"/>
  <c r="L122" i="8" s="1"/>
  <c r="L124" i="8" s="1"/>
  <c r="J104" i="8"/>
  <c r="L104" i="8" s="1"/>
  <c r="J103" i="8"/>
  <c r="L103" i="8" s="1"/>
  <c r="J101" i="8"/>
  <c r="L101" i="8" s="1"/>
  <c r="L109" i="8" s="1"/>
  <c r="J79" i="8"/>
  <c r="J77" i="8"/>
  <c r="L77" i="8" s="1"/>
  <c r="J76" i="8"/>
  <c r="L76" i="8" s="1"/>
  <c r="J75" i="8"/>
  <c r="L75" i="8" s="1"/>
  <c r="J68" i="8"/>
  <c r="J66" i="8"/>
  <c r="L66" i="8" s="1"/>
  <c r="J65" i="8"/>
  <c r="L65" i="8" s="1"/>
  <c r="J64" i="8"/>
  <c r="L64" i="8" s="1"/>
  <c r="J57" i="8"/>
  <c r="J54" i="8"/>
  <c r="L54" i="8" s="1"/>
  <c r="J53" i="8"/>
  <c r="L53" i="8" s="1"/>
  <c r="J55" i="8"/>
  <c r="L55" i="8" s="1"/>
  <c r="J46" i="8"/>
  <c r="J47" i="8" s="1"/>
  <c r="J44" i="8"/>
  <c r="J43" i="8"/>
  <c r="J42" i="8"/>
  <c r="J35" i="8"/>
  <c r="J32" i="8"/>
  <c r="L32" i="8" s="1"/>
  <c r="J31" i="8"/>
  <c r="L31" i="8" s="1"/>
  <c r="J33" i="8"/>
  <c r="L33" i="8" s="1"/>
  <c r="J17" i="10"/>
  <c r="L17" i="10" s="1"/>
  <c r="J17" i="8"/>
  <c r="L17" i="8" s="1"/>
  <c r="J22" i="8"/>
  <c r="L22" i="8" s="1"/>
  <c r="J20" i="8"/>
  <c r="L20" i="8" s="1"/>
  <c r="J19" i="8"/>
  <c r="L19" i="8" s="1"/>
  <c r="J16" i="8"/>
  <c r="L16" i="8" s="1"/>
  <c r="J15" i="8"/>
  <c r="L15" i="8" s="1"/>
  <c r="J132" i="10"/>
  <c r="L132" i="10" s="1"/>
  <c r="L134" i="10" s="1"/>
  <c r="J113" i="10"/>
  <c r="L113" i="10" s="1"/>
  <c r="J114" i="10"/>
  <c r="L114" i="10" s="1"/>
  <c r="J111" i="10"/>
  <c r="L111" i="10" s="1"/>
  <c r="L119" i="10" s="1"/>
  <c r="J90" i="10"/>
  <c r="J87" i="10"/>
  <c r="L87" i="10" s="1"/>
  <c r="J86" i="10"/>
  <c r="L86" i="10" s="1"/>
  <c r="J88" i="10"/>
  <c r="L88" i="10" s="1"/>
  <c r="J79" i="10"/>
  <c r="J77" i="10"/>
  <c r="L77" i="10" s="1"/>
  <c r="J76" i="10"/>
  <c r="L76" i="10" s="1"/>
  <c r="J75" i="10"/>
  <c r="L75" i="10" s="1"/>
  <c r="J68" i="10"/>
  <c r="J65" i="10"/>
  <c r="L65" i="10" s="1"/>
  <c r="J64" i="10"/>
  <c r="L64" i="10" s="1"/>
  <c r="J66" i="10"/>
  <c r="L66" i="10" s="1"/>
  <c r="J57" i="10"/>
  <c r="J54" i="10"/>
  <c r="L54" i="10" s="1"/>
  <c r="J53" i="10"/>
  <c r="L53" i="10" s="1"/>
  <c r="J46" i="10"/>
  <c r="L46" i="10" s="1"/>
  <c r="J43" i="10"/>
  <c r="L43" i="10" s="1"/>
  <c r="J42" i="10"/>
  <c r="L42" i="10" s="1"/>
  <c r="J35" i="10"/>
  <c r="J32" i="10"/>
  <c r="L32" i="10" s="1"/>
  <c r="J31" i="10"/>
  <c r="L31" i="10" s="1"/>
  <c r="J55" i="10"/>
  <c r="L55" i="10" s="1"/>
  <c r="J44" i="10"/>
  <c r="L44" i="10" s="1"/>
  <c r="J33" i="10"/>
  <c r="L33" i="10" s="1"/>
  <c r="J27" i="10"/>
  <c r="L27" i="10" s="1"/>
  <c r="L29" i="10" s="1"/>
  <c r="J19" i="10"/>
  <c r="L19" i="10" s="1"/>
  <c r="J22" i="10"/>
  <c r="L22" i="10" s="1"/>
  <c r="J20" i="10"/>
  <c r="L20" i="10" s="1"/>
  <c r="J16" i="10"/>
  <c r="L16" i="10" s="1"/>
  <c r="J15" i="10"/>
  <c r="L15" i="10" s="1"/>
  <c r="J44" i="9"/>
  <c r="L44" i="9" s="1"/>
  <c r="J43" i="9"/>
  <c r="L43" i="9" s="1"/>
  <c r="L46" i="9" s="1"/>
  <c r="J34" i="9"/>
  <c r="L34" i="9" s="1"/>
  <c r="J33" i="9"/>
  <c r="L33" i="9" s="1"/>
  <c r="J31" i="9"/>
  <c r="L31" i="9" s="1"/>
  <c r="J19" i="9"/>
  <c r="L19" i="9" s="1"/>
  <c r="J21" i="9"/>
  <c r="L21" i="9" s="1"/>
  <c r="J35" i="9"/>
  <c r="L35" i="9" s="1"/>
  <c r="J29" i="9"/>
  <c r="L29" i="9" s="1"/>
  <c r="J30" i="9"/>
  <c r="L30" i="9" s="1"/>
  <c r="J20" i="9"/>
  <c r="L20" i="9" s="1"/>
  <c r="J17" i="9"/>
  <c r="L17" i="9" s="1"/>
  <c r="J16" i="9"/>
  <c r="L16" i="9" s="1"/>
  <c r="J15" i="9"/>
  <c r="L15" i="9" s="1"/>
  <c r="J49" i="8"/>
  <c r="J38" i="7"/>
  <c r="J46" i="14"/>
  <c r="L46" i="14" s="1"/>
  <c r="L48" i="14" s="1"/>
  <c r="J42" i="14"/>
  <c r="L42" i="14" s="1"/>
  <c r="L44" i="14" s="1"/>
  <c r="L54" i="14" s="1"/>
  <c r="J19" i="14"/>
  <c r="L19" i="14" s="1"/>
  <c r="J17" i="14"/>
  <c r="L17" i="14" s="1"/>
  <c r="J20" i="14"/>
  <c r="L20" i="14" s="1"/>
  <c r="J15" i="14"/>
  <c r="L15" i="14" s="1"/>
  <c r="L25" i="14" s="1"/>
  <c r="L39" i="14" s="1"/>
  <c r="L51" i="7"/>
  <c r="J49" i="7"/>
  <c r="J54" i="7"/>
  <c r="L54" i="7" s="1"/>
  <c r="J53" i="7"/>
  <c r="J48" i="7"/>
  <c r="J56" i="7"/>
  <c r="J58" i="7"/>
  <c r="J41" i="7"/>
  <c r="J33" i="7"/>
  <c r="J36" i="7"/>
  <c r="J39" i="7"/>
  <c r="J26" i="7"/>
  <c r="J16" i="7"/>
  <c r="J15" i="7"/>
  <c r="J24" i="7" s="1"/>
  <c r="L42" i="11"/>
  <c r="J60" i="10"/>
  <c r="L60" i="10" s="1"/>
  <c r="J47" i="10" l="1"/>
  <c r="L47" i="10" s="1"/>
  <c r="L20" i="11"/>
  <c r="L21" i="11" s="1"/>
  <c r="L43" i="13"/>
  <c r="L24" i="8"/>
  <c r="J36" i="8"/>
  <c r="L36" i="8" s="1"/>
  <c r="L35" i="8"/>
  <c r="L40" i="8" s="1"/>
  <c r="J58" i="8"/>
  <c r="L58" i="8" s="1"/>
  <c r="L57" i="8"/>
  <c r="L62" i="8" s="1"/>
  <c r="J69" i="8"/>
  <c r="L69" i="8" s="1"/>
  <c r="L68" i="8"/>
  <c r="L73" i="8" s="1"/>
  <c r="J80" i="8"/>
  <c r="L80" i="8" s="1"/>
  <c r="L79" i="8"/>
  <c r="L84" i="8" s="1"/>
  <c r="L85" i="8" s="1"/>
  <c r="J58" i="10"/>
  <c r="L58" i="10" s="1"/>
  <c r="L57" i="10"/>
  <c r="J80" i="10"/>
  <c r="L80" i="10" s="1"/>
  <c r="L79" i="10"/>
  <c r="L84" i="10" s="1"/>
  <c r="J91" i="10"/>
  <c r="L91" i="10" s="1"/>
  <c r="L90" i="10"/>
  <c r="L24" i="10"/>
  <c r="J36" i="10"/>
  <c r="L36" i="10" s="1"/>
  <c r="L35" i="10"/>
  <c r="L62" i="10"/>
  <c r="L95" i="10"/>
  <c r="J69" i="10"/>
  <c r="L69" i="10" s="1"/>
  <c r="L68" i="10"/>
  <c r="L140" i="10"/>
  <c r="L51" i="10"/>
  <c r="L41" i="9"/>
  <c r="L27" i="9"/>
  <c r="L48" i="9" s="1"/>
  <c r="J23" i="7"/>
  <c r="L53" i="7"/>
  <c r="L49" i="8"/>
  <c r="L36" i="7"/>
  <c r="L49" i="7"/>
  <c r="L16" i="7"/>
  <c r="L20" i="7"/>
  <c r="L40" i="11"/>
  <c r="L39" i="11"/>
  <c r="L37" i="11"/>
  <c r="L36" i="11"/>
  <c r="L35" i="11"/>
  <c r="L32" i="13"/>
  <c r="L35" i="13" s="1"/>
  <c r="L7" i="8"/>
  <c r="L47" i="8"/>
  <c r="L46" i="8"/>
  <c r="L44" i="8"/>
  <c r="L43" i="8"/>
  <c r="L42" i="8"/>
  <c r="L53" i="13" l="1"/>
  <c r="L73" i="10"/>
  <c r="L121" i="10" s="1"/>
  <c r="L5" i="10" s="1"/>
  <c r="L40" i="10"/>
  <c r="L44" i="11"/>
  <c r="L46" i="11" s="1"/>
  <c r="L51" i="8"/>
  <c r="L111" i="8" s="1"/>
  <c r="M7" i="8"/>
  <c r="L56" i="7"/>
  <c r="L6" i="8" l="1"/>
  <c r="M6" i="8"/>
  <c r="M111" i="8"/>
  <c r="M5" i="8" s="1"/>
  <c r="M10" i="8" s="1"/>
  <c r="L5" i="8"/>
  <c r="L10" i="8" s="1"/>
  <c r="L57" i="9"/>
  <c r="L63" i="9" s="1"/>
  <c r="L44" i="7"/>
  <c r="L29" i="7"/>
  <c r="L35" i="7"/>
  <c r="L26" i="7" l="1"/>
  <c r="L41" i="7"/>
  <c r="L58" i="7"/>
  <c r="L43" i="7"/>
  <c r="L28" i="7"/>
  <c r="L88" i="17" l="1"/>
  <c r="M88" i="17" l="1"/>
  <c r="L39" i="7" l="1"/>
  <c r="L21" i="7" l="1"/>
  <c r="M9" i="14" l="1"/>
  <c r="L75" i="14"/>
  <c r="L57" i="14"/>
  <c r="L60" i="14" s="1"/>
  <c r="L62" i="14" s="1"/>
  <c r="M9" i="13"/>
  <c r="M73" i="17" s="1"/>
  <c r="L83" i="13"/>
  <c r="L85" i="13" s="1"/>
  <c r="L87" i="13" s="1"/>
  <c r="L77" i="14" l="1"/>
  <c r="L83" i="14" s="1"/>
  <c r="L9" i="14" s="1"/>
  <c r="L43" i="17" s="1"/>
  <c r="M43" i="17"/>
  <c r="L7" i="13"/>
  <c r="L72" i="17" s="1"/>
  <c r="M7" i="13"/>
  <c r="M72" i="17" s="1"/>
  <c r="L7" i="14"/>
  <c r="M7" i="14"/>
  <c r="L9" i="13"/>
  <c r="L73" i="17" s="1"/>
  <c r="M80" i="17"/>
  <c r="M42" i="17" l="1"/>
  <c r="L42" i="17"/>
  <c r="L5" i="13"/>
  <c r="L70" i="17" s="1"/>
  <c r="L6" i="14"/>
  <c r="L41" i="17" s="1"/>
  <c r="M6" i="14"/>
  <c r="M41" i="17" s="1"/>
  <c r="M5" i="14"/>
  <c r="M40" i="17" s="1"/>
  <c r="L5" i="14"/>
  <c r="L40" i="17" s="1"/>
  <c r="M6" i="13"/>
  <c r="L6" i="13"/>
  <c r="L80" i="17"/>
  <c r="M69" i="11"/>
  <c r="M71" i="11" s="1"/>
  <c r="M8" i="11" s="1"/>
  <c r="L69" i="11"/>
  <c r="L71" i="11" s="1"/>
  <c r="L8" i="11" s="1"/>
  <c r="M168" i="10"/>
  <c r="M7" i="9"/>
  <c r="L7" i="9"/>
  <c r="M9" i="9"/>
  <c r="M51" i="17" s="1"/>
  <c r="L81" i="9"/>
  <c r="L83" i="9" s="1"/>
  <c r="L85" i="9" s="1"/>
  <c r="L74" i="9"/>
  <c r="L76" i="9" s="1"/>
  <c r="L78" i="9" s="1"/>
  <c r="M66" i="17"/>
  <c r="M7" i="7"/>
  <c r="M35" i="17" s="1"/>
  <c r="L7" i="7"/>
  <c r="L35" i="17" s="1"/>
  <c r="M100" i="7"/>
  <c r="M102" i="7" s="1"/>
  <c r="M9" i="7" s="1"/>
  <c r="L98" i="7"/>
  <c r="L48" i="7"/>
  <c r="L61" i="7" s="1"/>
  <c r="L38" i="7"/>
  <c r="L33" i="7"/>
  <c r="L24" i="7"/>
  <c r="L23" i="7"/>
  <c r="L18" i="7"/>
  <c r="L15" i="7"/>
  <c r="L31" i="7" s="1"/>
  <c r="M218" i="10" l="1"/>
  <c r="M9" i="10" s="1"/>
  <c r="M59" i="17" s="1"/>
  <c r="L10" i="14"/>
  <c r="M10" i="14"/>
  <c r="L71" i="17"/>
  <c r="L74" i="17" s="1"/>
  <c r="L37" i="20" s="1"/>
  <c r="L10" i="13"/>
  <c r="M71" i="17"/>
  <c r="M49" i="17"/>
  <c r="L49" i="17"/>
  <c r="L46" i="7"/>
  <c r="L63" i="7" s="1"/>
  <c r="L5" i="11"/>
  <c r="L6" i="11"/>
  <c r="L78" i="17" s="1"/>
  <c r="M31" i="7"/>
  <c r="M6" i="11"/>
  <c r="M78" i="17" s="1"/>
  <c r="M7" i="11"/>
  <c r="M5" i="13"/>
  <c r="M10" i="13" s="1"/>
  <c r="L7" i="11"/>
  <c r="M36" i="17"/>
  <c r="L44" i="17"/>
  <c r="L33" i="20" s="1"/>
  <c r="M44" i="17"/>
  <c r="M33" i="20" s="1"/>
  <c r="M5" i="11"/>
  <c r="M77" i="17" s="1"/>
  <c r="L168" i="10"/>
  <c r="L218" i="10" s="1"/>
  <c r="L9" i="10" s="1"/>
  <c r="L9" i="9"/>
  <c r="L51" i="17" s="1"/>
  <c r="L66" i="17"/>
  <c r="L100" i="7"/>
  <c r="L102" i="7" s="1"/>
  <c r="L9" i="7" s="1"/>
  <c r="M46" i="7"/>
  <c r="M63" i="7" l="1"/>
  <c r="M79" i="17"/>
  <c r="M10" i="11"/>
  <c r="L79" i="17"/>
  <c r="L10" i="11"/>
  <c r="L6" i="7"/>
  <c r="L34" i="17" s="1"/>
  <c r="M6" i="7"/>
  <c r="M34" i="17" s="1"/>
  <c r="L59" i="17"/>
  <c r="M8" i="9"/>
  <c r="M6" i="9"/>
  <c r="M48" i="17" s="1"/>
  <c r="L6" i="9"/>
  <c r="L48" i="17" s="1"/>
  <c r="M70" i="17"/>
  <c r="M74" i="17" s="1"/>
  <c r="M37" i="20" s="1"/>
  <c r="L55" i="17"/>
  <c r="M5" i="10"/>
  <c r="L5" i="7"/>
  <c r="L33" i="17" s="1"/>
  <c r="M5" i="7"/>
  <c r="M33" i="17" s="1"/>
  <c r="L58" i="17"/>
  <c r="L8" i="9"/>
  <c r="M58" i="17"/>
  <c r="L7" i="10"/>
  <c r="L57" i="17" s="1"/>
  <c r="M7" i="10"/>
  <c r="M57" i="17" s="1"/>
  <c r="M5" i="9"/>
  <c r="L5" i="9"/>
  <c r="M81" i="17"/>
  <c r="M38" i="20" s="1"/>
  <c r="L63" i="17"/>
  <c r="M63" i="17"/>
  <c r="L36" i="17"/>
  <c r="L77" i="17"/>
  <c r="L81" i="17" s="1"/>
  <c r="L38" i="20" s="1"/>
  <c r="M65" i="17"/>
  <c r="M64" i="17"/>
  <c r="L64" i="17"/>
  <c r="L65" i="17"/>
  <c r="M6" i="10"/>
  <c r="M56" i="17" s="1"/>
  <c r="L6" i="10"/>
  <c r="L56" i="17" l="1"/>
  <c r="L10" i="10"/>
  <c r="M55" i="17"/>
  <c r="M10" i="10"/>
  <c r="M50" i="17"/>
  <c r="M10" i="9"/>
  <c r="L50" i="17"/>
  <c r="L10" i="9"/>
  <c r="L67" i="17"/>
  <c r="L36" i="20" s="1"/>
  <c r="M67" i="17"/>
  <c r="M36" i="20" s="1"/>
  <c r="L60" i="17"/>
  <c r="L35" i="20" s="1"/>
  <c r="M60" i="17"/>
  <c r="M35" i="20" s="1"/>
  <c r="M47" i="17"/>
  <c r="M52" i="17" s="1"/>
  <c r="M34" i="20" s="1"/>
  <c r="L47" i="17"/>
  <c r="L52" i="17" l="1"/>
  <c r="L34" i="20" s="1"/>
  <c r="L95" i="7"/>
  <c r="L8" i="7" s="1"/>
  <c r="L10" i="7" s="1"/>
  <c r="M95" i="7"/>
  <c r="M8" i="7" s="1"/>
  <c r="M10" i="7" s="1"/>
  <c r="L37" i="17" l="1"/>
  <c r="L32" i="20" s="1"/>
  <c r="L40" i="20" s="1"/>
  <c r="M37" i="17" l="1"/>
  <c r="M32" i="20" s="1"/>
  <c r="M40" i="20" s="1"/>
  <c r="L42" i="20" s="1"/>
  <c r="L58" i="20" s="1"/>
  <c r="L60" i="20" s="1"/>
</calcChain>
</file>

<file path=xl/sharedStrings.xml><?xml version="1.0" encoding="utf-8"?>
<sst xmlns="http://schemas.openxmlformats.org/spreadsheetml/2006/main" count="1652" uniqueCount="355">
  <si>
    <t>měrná jednotka</t>
  </si>
  <si>
    <t>množství</t>
  </si>
  <si>
    <t>jednotková cena</t>
  </si>
  <si>
    <t>poznámka</t>
  </si>
  <si>
    <t>m2</t>
  </si>
  <si>
    <t>bm</t>
  </si>
  <si>
    <t>ks</t>
  </si>
  <si>
    <t>cena celkem materiál</t>
  </si>
  <si>
    <t>cena práce a přesun hmot</t>
  </si>
  <si>
    <t>popis</t>
  </si>
  <si>
    <t>EXP</t>
  </si>
  <si>
    <t>desky</t>
  </si>
  <si>
    <t>ocel</t>
  </si>
  <si>
    <t>povrchy</t>
  </si>
  <si>
    <t>zasklení</t>
  </si>
  <si>
    <t>část</t>
  </si>
  <si>
    <t>kód</t>
  </si>
  <si>
    <t>ostatní výrobky</t>
  </si>
  <si>
    <t>expozice</t>
  </si>
  <si>
    <t>GRF</t>
  </si>
  <si>
    <t>GRAFIKA</t>
  </si>
  <si>
    <t>EXPOZICE</t>
  </si>
  <si>
    <t>samolepící fólie</t>
  </si>
  <si>
    <t>grafika</t>
  </si>
  <si>
    <t>osvětlení</t>
  </si>
  <si>
    <t>OSVĚTLENÍ</t>
  </si>
  <si>
    <t>OSV</t>
  </si>
  <si>
    <t xml:space="preserve">materiál </t>
  </si>
  <si>
    <t>audiovize</t>
  </si>
  <si>
    <t>modely</t>
  </si>
  <si>
    <t>AUDIOVIZE</t>
  </si>
  <si>
    <t>AV</t>
  </si>
  <si>
    <t>MODELY</t>
  </si>
  <si>
    <t>MDL</t>
  </si>
  <si>
    <t>mobiliář</t>
  </si>
  <si>
    <t>01.XX</t>
  </si>
  <si>
    <t>01.01</t>
  </si>
  <si>
    <t>01.02</t>
  </si>
  <si>
    <t>01.03</t>
  </si>
  <si>
    <t>03.01</t>
  </si>
  <si>
    <t>03.02</t>
  </si>
  <si>
    <t>MDF deska tl. 16mm</t>
  </si>
  <si>
    <t>03.03</t>
  </si>
  <si>
    <t>04.01</t>
  </si>
  <si>
    <t>04.02</t>
  </si>
  <si>
    <t>04.03</t>
  </si>
  <si>
    <t>04.04</t>
  </si>
  <si>
    <t>grafika na paneláži</t>
  </si>
  <si>
    <t>07.01</t>
  </si>
  <si>
    <t>07.02</t>
  </si>
  <si>
    <t>07.03</t>
  </si>
  <si>
    <t>06.01</t>
  </si>
  <si>
    <t>06.02</t>
  </si>
  <si>
    <t>06.03</t>
  </si>
  <si>
    <t>06.05</t>
  </si>
  <si>
    <t>06.04</t>
  </si>
  <si>
    <t>06.07</t>
  </si>
  <si>
    <t>06.06</t>
  </si>
  <si>
    <t>zásuvkové výsuvy s otvíráním push to open</t>
  </si>
  <si>
    <t>02.01</t>
  </si>
  <si>
    <t>02.02</t>
  </si>
  <si>
    <t>md</t>
  </si>
  <si>
    <t xml:space="preserve"> </t>
  </si>
  <si>
    <t>04.L3</t>
  </si>
  <si>
    <t>MDF deska tl. 10mm - ohybatelná</t>
  </si>
  <si>
    <t>penetrace</t>
  </si>
  <si>
    <t>místo:</t>
  </si>
  <si>
    <t>projektant:</t>
  </si>
  <si>
    <t>zpracovatel:</t>
  </si>
  <si>
    <t>Masarykovo náměstí 55, 586 01 Jihlava</t>
  </si>
  <si>
    <t>tbi. architekti.</t>
  </si>
  <si>
    <t>identifikační údaje</t>
  </si>
  <si>
    <t>Terronská 66/877, 160 00 Praha 6</t>
  </si>
  <si>
    <t>kontaktní osoba:</t>
  </si>
  <si>
    <t>datum a podpis:</t>
  </si>
  <si>
    <t>01. PROJEKT ELEKTRO</t>
  </si>
  <si>
    <t>2) spojovací materiály nejsou součástí výkazu výměr, dodavatel typ a množství určí sám</t>
  </si>
  <si>
    <t>02. REALIZACE ELEKTRO</t>
  </si>
  <si>
    <t>realizace elektro</t>
  </si>
  <si>
    <t>ELEKTRO</t>
  </si>
  <si>
    <t>projekt silnoproud</t>
  </si>
  <si>
    <t>OSTATNÍ NÁKLADY</t>
  </si>
  <si>
    <t>182TLC</t>
  </si>
  <si>
    <t>Špitální 44, Telč</t>
  </si>
  <si>
    <t>EXPOZICE 01 - NA POČÁTKU BYL KÁMEN</t>
  </si>
  <si>
    <t>EXPOZICE 02 - KŘEHKÁ KRÁSA I</t>
  </si>
  <si>
    <t>EXPOZICE 03 - KŘEHKÁ KRÁSA II</t>
  </si>
  <si>
    <t>EXPOZICE 04 - KRAJINA NA HOUPAČCE I</t>
  </si>
  <si>
    <t>EXPOZICE 05 - KRAJINA NA HOUPAČCE II</t>
  </si>
  <si>
    <t>EXPOZICE 06 - UČEBNA</t>
  </si>
  <si>
    <t>EXPOZICE 07 - CHODBA</t>
  </si>
  <si>
    <t>pultová vitrína, paneláž</t>
  </si>
  <si>
    <t>paneláž s půdními profily</t>
  </si>
  <si>
    <t>sklo clean vision VSG 44.1</t>
  </si>
  <si>
    <t>střední objekt s kameny</t>
  </si>
  <si>
    <t>grafika na EXP.01.01</t>
  </si>
  <si>
    <t>grafika na EXP.01.02</t>
  </si>
  <si>
    <t>osvětlení vitríny (průběžné)</t>
  </si>
  <si>
    <t>grafika na EXP.02.01</t>
  </si>
  <si>
    <t>grafika na EXP.02.02</t>
  </si>
  <si>
    <t>02.XX</t>
  </si>
  <si>
    <t>paneláž + police na model</t>
  </si>
  <si>
    <t>pultová vitrína 01</t>
  </si>
  <si>
    <t>pultová vitrína 02</t>
  </si>
  <si>
    <t>ocelový truhlík na rašelinu</t>
  </si>
  <si>
    <t>podlaha</t>
  </si>
  <si>
    <t>pódium</t>
  </si>
  <si>
    <t>vitrína fix</t>
  </si>
  <si>
    <t>MDF deska tl. 25mm</t>
  </si>
  <si>
    <t>projekční barva bílá</t>
  </si>
  <si>
    <t>01</t>
  </si>
  <si>
    <t>MDF deska tl. 30mm</t>
  </si>
  <si>
    <t xml:space="preserve">lak RAL 9011 hedvábný lesk </t>
  </si>
  <si>
    <t>lak RAL 02 hedvábný lesk</t>
  </si>
  <si>
    <t>lak RAL 9011 hedvábný lesk</t>
  </si>
  <si>
    <t>02</t>
  </si>
  <si>
    <t>03</t>
  </si>
  <si>
    <t>04</t>
  </si>
  <si>
    <t>05</t>
  </si>
  <si>
    <t>06</t>
  </si>
  <si>
    <t>celek</t>
  </si>
  <si>
    <t>09</t>
  </si>
  <si>
    <t>grafika na EXP 03.02</t>
  </si>
  <si>
    <t>paneláž</t>
  </si>
  <si>
    <t>grafika na pódiu</t>
  </si>
  <si>
    <t>08</t>
  </si>
  <si>
    <t>06.XX</t>
  </si>
  <si>
    <t>židle</t>
  </si>
  <si>
    <t>projekční stěna</t>
  </si>
  <si>
    <t>tabule</t>
  </si>
  <si>
    <t>MDF deska tl. 16mm, včetně kotvení do stěny</t>
  </si>
  <si>
    <t>plechová podlaha</t>
  </si>
  <si>
    <t>lak RAL 9011 hedvábný lesk prováděné nástřikem na dílně</t>
  </si>
  <si>
    <t>07.XX</t>
  </si>
  <si>
    <t>Muzeum Telč - Křehká krása rašelinišť</t>
  </si>
  <si>
    <t>nerezové trny kotvené do stěny včetně protikusu na desce</t>
  </si>
  <si>
    <t>05.L3</t>
  </si>
  <si>
    <t>05.01</t>
  </si>
  <si>
    <t>05.02</t>
  </si>
  <si>
    <t>05.03</t>
  </si>
  <si>
    <t>05.04</t>
  </si>
  <si>
    <t>probarvovaná stěrka</t>
  </si>
  <si>
    <t>grafika ve vitrínách</t>
  </si>
  <si>
    <t>grafika na EXP 03.01 2ks (01, 02)</t>
  </si>
  <si>
    <t>před svařením rámu prověřit transportní cestu</t>
  </si>
  <si>
    <t>barva bílá</t>
  </si>
  <si>
    <t>04.05</t>
  </si>
  <si>
    <t>04.06</t>
  </si>
  <si>
    <t>04.07</t>
  </si>
  <si>
    <t>04.08</t>
  </si>
  <si>
    <t>04.09</t>
  </si>
  <si>
    <t>04.10</t>
  </si>
  <si>
    <t>chřástal</t>
  </si>
  <si>
    <t>prase divoké (sele)</t>
  </si>
  <si>
    <t>tetřev hlušec</t>
  </si>
  <si>
    <t>tetřívek obecný</t>
  </si>
  <si>
    <t>skokan krátkonohý</t>
  </si>
  <si>
    <t>skokan ostronosý</t>
  </si>
  <si>
    <t>čolci</t>
  </si>
  <si>
    <t>ještěrka živorodá</t>
  </si>
  <si>
    <t>zmije obecná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</si>
  <si>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</si>
  <si>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</si>
  <si>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</si>
  <si>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</si>
  <si>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</si>
  <si>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</si>
  <si>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</si>
  <si>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</si>
  <si>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</si>
  <si>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bekasina otavní</t>
  </si>
  <si>
    <t>moták lužní</t>
  </si>
  <si>
    <t>káně</t>
  </si>
  <si>
    <t>jezevec lesní</t>
  </si>
  <si>
    <t>liška obecná</t>
  </si>
  <si>
    <t>srna (srnče)</t>
  </si>
  <si>
    <t>ťuhýk šedý</t>
  </si>
  <si>
    <t>myška drobná</t>
  </si>
  <si>
    <t>hraboš mokřadní</t>
  </si>
  <si>
    <t>rejsci</t>
  </si>
  <si>
    <t>bramborníček</t>
  </si>
  <si>
    <t>modráček</t>
  </si>
  <si>
    <t>sýkora lužní</t>
  </si>
  <si>
    <t>04.11</t>
  </si>
  <si>
    <t>04.12</t>
  </si>
  <si>
    <t>04.13</t>
  </si>
  <si>
    <t>05.14</t>
  </si>
  <si>
    <t>05.16</t>
  </si>
  <si>
    <t>05.17</t>
  </si>
  <si>
    <t>m3</t>
  </si>
  <si>
    <t>barva wenge - hnědočerná - kávový odstín</t>
  </si>
  <si>
    <t>moření wenge - hnědočerná</t>
  </si>
  <si>
    <t>02.03</t>
  </si>
  <si>
    <t>popisky</t>
  </si>
  <si>
    <t>datum a podpis:                              03.02.2022</t>
  </si>
  <si>
    <t>Muzeum Vysočiny Jihlava, příspěvková organizace</t>
  </si>
  <si>
    <t>objednatel:</t>
  </si>
  <si>
    <t>RNDr. Karel Malý, Ph.D.</t>
  </si>
  <si>
    <t>Ing. arch. Tomáš Bílek</t>
  </si>
  <si>
    <t>projekt:</t>
  </si>
  <si>
    <t>není předmětem plnění</t>
  </si>
  <si>
    <r>
      <t xml:space="preserve">není předmětem plnění 
</t>
    </r>
    <r>
      <rPr>
        <sz val="12"/>
        <color theme="1"/>
        <rFont val="Calibri"/>
        <family val="2"/>
        <charset val="238"/>
        <scheme val="minor"/>
      </rPr>
      <t>(je předmětem části 2 veřejné zakázky)</t>
    </r>
  </si>
  <si>
    <r>
      <t xml:space="preserve">není předmětem plnění
</t>
    </r>
    <r>
      <rPr>
        <sz val="12"/>
        <color theme="1"/>
        <rFont val="Calibri"/>
        <family val="2"/>
        <charset val="238"/>
        <scheme val="minor"/>
      </rPr>
      <t>(je předmětem části 2 veřejné zakázky)</t>
    </r>
  </si>
  <si>
    <t>NÁKLADY DLE EXPOZIC</t>
  </si>
  <si>
    <t>01. NA POČÁTKU BYL KÁMEN</t>
  </si>
  <si>
    <t>02. KŘEHKÁ KRÁSA I</t>
  </si>
  <si>
    <t>03. KŘEHKÁ KRÁSA II</t>
  </si>
  <si>
    <t>04. KRAJINA NA HOUPAČCE I</t>
  </si>
  <si>
    <t>05. KRAJINA NA HOUPAČCE II</t>
  </si>
  <si>
    <t>06. UČEBNA</t>
  </si>
  <si>
    <t>07. CHODBA</t>
  </si>
  <si>
    <t>cena celkem (Kč bez DPH)</t>
  </si>
  <si>
    <t>DPH 21 % (Kč)</t>
  </si>
  <si>
    <t>CENA CELKEM (Kč vč. DPH)</t>
  </si>
  <si>
    <t>1. NÁKLADY DLE EXPOZIC</t>
  </si>
  <si>
    <t>2. OSTATNÍ NÁKLADY</t>
  </si>
  <si>
    <t>NÁKLADY DLE EXPOZIC (celkem v Kč bez DPH)</t>
  </si>
  <si>
    <t>OSTATNÍ NÁKLADY (celkem v Kč bez DPH)</t>
  </si>
  <si>
    <t>celkem (Kč bez DPH)</t>
  </si>
  <si>
    <t>viz PD</t>
  </si>
  <si>
    <t>vitrína pohyb výška 800 mm</t>
  </si>
  <si>
    <t>vitrína pohyb výška 900 mm</t>
  </si>
  <si>
    <t>vitrína pohyb výška 1 000 mm</t>
  </si>
  <si>
    <t>hrany řezu musí být tmelené a lakované</t>
  </si>
  <si>
    <t>třída nosnosti 30 kg, výsuv 500 mm, 1 ks = pár</t>
  </si>
  <si>
    <t>Věšák z masivního dubového dřeva. Olejovaný povrch se zvýšenou odolností. 
V horní části praktické úchytky na zavěšení poutek. 
 Hmotnost 9 kg. Moření na kávový odstín. Viz PD.</t>
  </si>
  <si>
    <t xml:space="preserve">MDF deska tl. 16 mm </t>
  </si>
  <si>
    <t>rektifikační nohy výška 30 mm</t>
  </si>
  <si>
    <t>MDF deska tl. 10 mm - ohybatelná</t>
  </si>
  <si>
    <t>MDF deska tl. 16 mm</t>
  </si>
  <si>
    <t>MDF deska tl. 30 mm</t>
  </si>
  <si>
    <t>ocelový plech tl. 3 mm</t>
  </si>
  <si>
    <t>MDF deska tl. 25 mm</t>
  </si>
  <si>
    <t>vitrína pohyb výška 1100 mm</t>
  </si>
  <si>
    <t>černá (probarvená) potisknutelná deska 150x100 mm tl. 5 mm + tisk</t>
  </si>
  <si>
    <t>cena celkem za 1 ks (Kč bez DPH)</t>
  </si>
  <si>
    <t>cena celkem 10 ks (Kč bez DPH)</t>
  </si>
  <si>
    <t>cena celkem za 2 ks (Kč bez DPH)</t>
  </si>
  <si>
    <t>není požadován</t>
  </si>
  <si>
    <t>není navržena</t>
  </si>
  <si>
    <t>stávající, nové není navrženo</t>
  </si>
  <si>
    <t>infotabule na stěnách 10 ks (01-10)</t>
  </si>
  <si>
    <t>samolepící fólie 10 ks</t>
  </si>
  <si>
    <t>vitrína pohyb-fix výška 1100 mm</t>
  </si>
  <si>
    <t>vitrína pohyb-fix výška 900 mm</t>
  </si>
  <si>
    <t>ocelový plech tl. 3 mm 1100x1300 mm</t>
  </si>
  <si>
    <t>projekční barva bílá 2000x1400 mm</t>
  </si>
  <si>
    <t>samolepící pokovená černá fólie pf-black-foam 1800x1200 mm</t>
  </si>
  <si>
    <t>skříňky dvířka 400x400x400 mm</t>
  </si>
  <si>
    <t>komody výklop 800x400x400 mm</t>
  </si>
  <si>
    <t>komody zásuvky 800x400x400 mm</t>
  </si>
  <si>
    <t xml:space="preserve"> stůl 4500x1500 mm</t>
  </si>
  <si>
    <t>Jednoduchá stolička z bukového dřeva. Tři kónické nohy s kluzáky, trojúhelníkový sedák se zaoblenými rohy. Sedák o tl. 40 mm s ubíhající hranou po 10 mm. Moření dřeva wenge.</t>
  </si>
  <si>
    <t>Obdélníkový látkový polštář pro každý vrchní modul 800x400 mm
Provedení látky - bez vzoru, 96% bavlna, 4% nylon, 45.000 martindale, Ohnivzdorná látka kategorie M1.</t>
  </si>
  <si>
    <t>barva bordeaux</t>
  </si>
  <si>
    <t>p.č.</t>
  </si>
  <si>
    <t>povrchové úpravy jsou vč. tmelení, broušení a jiných přípravných prací</t>
  </si>
  <si>
    <t>ocelový plech tl. 5 mm - podložky prům. 100 mm</t>
  </si>
  <si>
    <t>vitrína fix prům. 450 mm</t>
  </si>
  <si>
    <t>sklo clean vision 6 mm skleněný šturc prům. 450 mm, výška 200 mm</t>
  </si>
  <si>
    <t>vitrína fix prům. 600 mm</t>
  </si>
  <si>
    <t>sklo clean vision 6 mm skleněný šturc prům. 600 mm, výška 1200 mm</t>
  </si>
  <si>
    <t>sklo clean vision 6 mm skleněný šturc prům. 450 mm, výška 500 mm</t>
  </si>
  <si>
    <t>sklo clean vision 6 mm skleněný šturc prům. 600 mm, výška 1000 mm</t>
  </si>
  <si>
    <t>viz PD,  skleněný šturc prům. 300 mm, výška 200 mm</t>
  </si>
  <si>
    <t>rektifikační závitové kotvicí tyče prům. 5 mm</t>
  </si>
  <si>
    <t>sklo clean vision 6 mm skleněný šturc prům. 600 mm, výška 400 mm</t>
  </si>
  <si>
    <t>vitrína fix  prům. 450 mm</t>
  </si>
  <si>
    <t>sklo clean vision 6 mm skleněný poklop prům. 450 mm</t>
  </si>
  <si>
    <t>sklo clean vision 6 mm skleněný šturc prům. 600 mm, výška 300 mm</t>
  </si>
  <si>
    <t>sklo clean vision 6mm skleněný šturc prům. 450 mm, výška 400 mm</t>
  </si>
  <si>
    <t xml:space="preserve">MDF deska tl. 25 mm </t>
  </si>
  <si>
    <t>nerezové tyče 20x20 mm</t>
  </si>
  <si>
    <t>plochý nerezový plech  tl. 2 mm</t>
  </si>
  <si>
    <t>sklo clean vision ESG 8 mm</t>
  </si>
  <si>
    <t>nerez plech 3 mm</t>
  </si>
  <si>
    <t>ocelový plech 5 mm</t>
  </si>
  <si>
    <t>sklo clean vision ESG 6 mm</t>
  </si>
  <si>
    <t xml:space="preserve">MDF deska tl. 10 mm ohybatelná </t>
  </si>
  <si>
    <t>ocelový plech bez PÚ, tl. 5 mm</t>
  </si>
  <si>
    <t>sklo clean vision 6 mm skleněný šturc prům. 450 mm, výška 300 mm</t>
  </si>
  <si>
    <t>sklo clean vision 6 mm skleněný poklop prům. 600 mm</t>
  </si>
  <si>
    <t>LED pásek do pohyblivých vitrín 11 ks</t>
  </si>
  <si>
    <t>vydra říční</t>
  </si>
  <si>
    <t>jäkl 40x40x3 mm</t>
  </si>
  <si>
    <t>jäkl 80x40x3 mm</t>
  </si>
  <si>
    <t>svary zabrousit a vyleštit, spoje s jäkly přes platle (jsou součástí ceny tyčí)</t>
  </si>
  <si>
    <t>jäkl 30x30x3 mm</t>
  </si>
  <si>
    <t>celkem v Kč bez DPH</t>
  </si>
  <si>
    <t>není požadována</t>
  </si>
  <si>
    <t>1) množství měrných jednotek u materiálů je uvedeno v přesných rozměrech, bez prořezů</t>
  </si>
  <si>
    <t>3) součástí plnění je i součinnost při instalaci exponátů</t>
  </si>
  <si>
    <t>návaznost svislé a vodorovné části je na 45 st.</t>
  </si>
  <si>
    <t>návaznost svislé a vodorovné části je na 45 st..</t>
  </si>
  <si>
    <t>plech řezaný na jednotlivé části s úbytkem materiálu 5 mm na každou stranu</t>
  </si>
  <si>
    <t>věšáky</t>
  </si>
  <si>
    <t>Čtvercový látkový polštář pro každý vrchní modul - 400x400 mm
Provedení látky - bez vzoru, 96% bavlna, 4% nylon, 45.000 martindale, Ohnivzdorná látka kategorie M1.</t>
  </si>
  <si>
    <t xml:space="preserve">grafika do vitrín </t>
  </si>
  <si>
    <t>včetně šroubovaných vrutů se zapuštěnou hlavou</t>
  </si>
  <si>
    <t>infotabule na stěnách (celkem 10 ks)</t>
  </si>
  <si>
    <t>vitrína fix prům. 450 mm (celkem 2ks)</t>
  </si>
  <si>
    <t>desky (pro 1 ks vitríny)</t>
  </si>
  <si>
    <t>povrchy (pro 1 ks vitríny)</t>
  </si>
  <si>
    <t>zasklení (pro 1 ks vitríny)</t>
  </si>
  <si>
    <t>ocel (pro 1 ks tabule)</t>
  </si>
  <si>
    <t>povrchy (pro 1 ks tabule)</t>
  </si>
  <si>
    <t>SHRNUTÍ EXPOZIC</t>
  </si>
  <si>
    <t>SOUHRNNÝ LIST ROZPOČTU</t>
  </si>
  <si>
    <t>IČO: 66011281</t>
  </si>
  <si>
    <t xml:space="preserve">IČO: </t>
  </si>
  <si>
    <t>IČO: 00090735</t>
  </si>
  <si>
    <t>modely pylových zrn</t>
  </si>
  <si>
    <t>viz PD, skleněný šturc prům. 300 mm, výška 200 mm</t>
  </si>
  <si>
    <t>Modulová sestava kontejnerů z oceli. Práškově lakovaná ocel, bílá barva. Velká flexibilita kompozice.
Každá jednotka vybavena propojovacími prvky. Výškově stavitelné kluzáky. V korpusu umístěné dvě horizontální zásuvky. Viz PD.</t>
  </si>
  <si>
    <t>Jednací stůl. Stolová podnož kónického tvaru z vysoce odolného plastu vyplněná sypkým materiálem pro zvýšení stability. 
Spodní průměr podnože 50 cm.
Stolová noha umožnuje vedení kabeláže ze stolové desky a umožní průchod kabelu do boční strany.
Možnost umístění servisního otvoru v noze stolu.
Stolová deska oválného tvaru, minimální tloušťka 30 mm, zkosená hrana.
Jádro stolové desky z překližky, horní plocha dubová dýha opatřená odolným lakem.
Konstrukce stolu umožňuje umístění připojení AV/TV konektorů a pohledové vedení kabelů pod stolovou deskou.                          Podnož vysoce odolný plast, barva černá, možnost lesklého lakovaného provedení. Stolová deska s překližkovým jádrem, horní plocha dýha dub, odolný matný lak. Velikost 4500x1500 mm. Viz PD.</t>
  </si>
  <si>
    <t>INSTALACE EXPONÁTŮ</t>
  </si>
  <si>
    <t>společná položka zahrnující instalaci všech exponátů</t>
  </si>
  <si>
    <t>instalace exponátů</t>
  </si>
  <si>
    <t>03. INSTALACE EXPONÁTŮ</t>
  </si>
  <si>
    <t>-</t>
  </si>
  <si>
    <t>mravenci ve zvětšení cca 700 mm</t>
  </si>
  <si>
    <t>vážka ve zvětšení cca 700 mm</t>
  </si>
  <si>
    <t>motýl ve zvětšení cca 800 mm</t>
  </si>
  <si>
    <t>model poskytne objednatel</t>
  </si>
  <si>
    <t>modely poskytne objednatel</t>
  </si>
  <si>
    <t>cena materiálu + tisku, text poskytne objednatel</t>
  </si>
  <si>
    <t>kámen poskytne objednatel;
kámen upravit na velikost, plochu upravit na cca 300x150 mm, usadit do objektu</t>
  </si>
  <si>
    <t>cena materiálu + tisku;
text poskytne objednatel</t>
  </si>
  <si>
    <t>rosnatka ve zvětšení cca 1000 mm</t>
  </si>
  <si>
    <t>rašeliník ve zvětšení cca 1200 mm</t>
  </si>
  <si>
    <t>materiál a provedení modelů: přírodní materiály (mech rašeliník, rašelina, trávy, trávovité a jiné rostliny vyskytující se na rašeliništích)</t>
  </si>
  <si>
    <r>
      <t xml:space="preserve">modely bultů </t>
    </r>
    <r>
      <rPr>
        <sz val="12"/>
        <color theme="1"/>
        <rFont val="Calibri"/>
        <family val="2"/>
        <charset val="238"/>
        <scheme val="minor"/>
      </rPr>
      <t xml:space="preserve">(jeden větší a dva menší po stranách) </t>
    </r>
  </si>
  <si>
    <t>modely obratlovců a hmyzu (cca 8 ks)</t>
  </si>
  <si>
    <t>LED pás 9W 3000 K, včetně profilu, difuzoru a napájení</t>
  </si>
  <si>
    <t>LED pás 12W 3000 K, včetně profilu, difuzoru a napájení</t>
  </si>
  <si>
    <t>06
07</t>
  </si>
  <si>
    <t>07
08</t>
  </si>
  <si>
    <t>dodavatel uvede cenu materiálu a práce pro výrobu modelu; 
případné další náklady spojené s instalací modelu dodavatel zahrne do položky "instalace exponátů" na souhrnném listu</t>
  </si>
  <si>
    <t>sklo clean vision ESG 8 mm + zasklívací pryž</t>
  </si>
  <si>
    <t>dodavatel:</t>
  </si>
  <si>
    <t>dodavatel provede pouze instalaci modelů, její cenu dodavatel zahrne do položky "instalace exponátů" na souhrnném listu</t>
  </si>
  <si>
    <t>rašelinu poskytne objednatel, dodavatel ji doplní do prvku</t>
  </si>
  <si>
    <t>před zahájením výroby všech pohyblivých vitrín dodavatel vyrobí jeden prototyp, na kterém proběhnou zkoušky funkčnosti a dle jejich výsledku případné úpravy tak, aby pohyb byl plynulý a vitríny se nekácely, ale vracely se do vztyčené polohy (prototyp je společný pro EXP 04 a 05)</t>
  </si>
  <si>
    <t>dodavatel provede pouze instalaci modelu, její cenu dodavatel zahrne do položky "instalace exponátů" na souhrnném listu</t>
  </si>
  <si>
    <t>dodavatel  provede pouze instalaci modelů, její cenu dodavatel zahrne do položky "instalace exponátů" na souhrnném listu</t>
  </si>
  <si>
    <t>datum a podpis: 03.02.2022</t>
  </si>
  <si>
    <t>dodavatel předloží objednateli vzorek skla prokazující soulad s vyjádřenými požadavky na materiál před jeho finálním použitím</t>
  </si>
  <si>
    <t>Modulová sestava kontejnerů z oceli. Práškově lakovaná ocel, bílá barva. Velká flexibilita kompozice.
Každá jednotka vybavena propojovacími prvky. Výškově stavitelné kluzáky. Uzavření skříněk výklopnými dveřmi. Viz PD.</t>
  </si>
  <si>
    <t>Modulová sestava kontejnerů z recyklovatelné oceli. Práškově lakovaná ocel, bílá barva. Velká flexibilita kompozice.
Každá jednotka vybavena propojovacími prvky. Výškově stavitelné kluzáky. Uzavření skříněk otevíravými dveřmi. Viz PD.</t>
  </si>
  <si>
    <t>brouk ve zvětšení cca 1000 mm</t>
  </si>
  <si>
    <t>lak RAL 9011 hedvábný lesk, oděru vzdorná</t>
  </si>
  <si>
    <t>neopracované kamenné bloky žuly a ruly s leštěnou plochou 150x300 mm</t>
  </si>
  <si>
    <t>připojení LED pásků v EXP 01, 04 a 05 z připojovacích bodů</t>
  </si>
  <si>
    <t>projekt pro připojení LED pásků v EXP 01, 04 a 05 z připojovacích bodů</t>
  </si>
  <si>
    <t>ks (cca)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</si>
</sst>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4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BE9FF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55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" fontId="0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4" borderId="0" xfId="0" applyFill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1" fontId="0" fillId="0" borderId="0" xfId="0" applyNumberFormat="1" applyFont="1" applyAlignment="1">
      <alignment horizontal="right" vertical="center"/>
    </xf>
    <xf numFmtId="0" fontId="1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1" fontId="0" fillId="0" borderId="0" xfId="0" applyNumberFormat="1" applyFont="1" applyAlignment="1">
      <alignment horizontal="right" vertical="center"/>
    </xf>
    <xf numFmtId="1" fontId="0" fillId="0" borderId="9" xfId="0" applyNumberFormat="1" applyFont="1" applyBorder="1" applyAlignment="1" applyProtection="1">
      <alignment horizontal="right" vertical="center"/>
      <protection hidden="1"/>
    </xf>
    <xf numFmtId="49" fontId="0" fillId="0" borderId="9" xfId="0" applyNumberFormat="1" applyBorder="1" applyAlignment="1" applyProtection="1">
      <alignment horizontal="center" vertical="center"/>
      <protection hidden="1"/>
    </xf>
    <xf numFmtId="49" fontId="0" fillId="0" borderId="9" xfId="0" applyNumberFormat="1" applyBorder="1" applyAlignment="1" applyProtection="1">
      <alignment horizontal="left" vertical="center" indent="1"/>
      <protection hidden="1"/>
    </xf>
    <xf numFmtId="0" fontId="0" fillId="0" borderId="9" xfId="0" applyBorder="1" applyAlignment="1" applyProtection="1">
      <alignment vertical="center"/>
      <protection hidden="1"/>
    </xf>
    <xf numFmtId="0" fontId="0" fillId="0" borderId="9" xfId="0" applyBorder="1" applyAlignment="1" applyProtection="1">
      <alignment horizontal="right" vertical="center" indent="1"/>
      <protection hidden="1"/>
    </xf>
    <xf numFmtId="2" fontId="0" fillId="0" borderId="9" xfId="0" applyNumberFormat="1" applyBorder="1" applyAlignment="1" applyProtection="1">
      <alignment horizontal="right" vertical="center" indent="1"/>
      <protection hidden="1"/>
    </xf>
    <xf numFmtId="49" fontId="2" fillId="3" borderId="5" xfId="0" applyNumberFormat="1" applyFont="1" applyFill="1" applyBorder="1" applyAlignment="1" applyProtection="1">
      <alignment horizontal="center" vertical="center"/>
      <protection hidden="1"/>
    </xf>
    <xf numFmtId="49" fontId="0" fillId="3" borderId="0" xfId="0" applyNumberForma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Border="1" applyAlignment="1" applyProtection="1">
      <alignment horizontal="left" vertical="center" indent="1"/>
      <protection hidden="1"/>
    </xf>
    <xf numFmtId="49" fontId="0" fillId="0" borderId="0" xfId="0" applyNumberFormat="1" applyFont="1" applyBorder="1" applyAlignment="1" applyProtection="1">
      <alignment horizontal="left" vertical="center" indent="1"/>
      <protection hidden="1"/>
    </xf>
    <xf numFmtId="0" fontId="0" fillId="0" borderId="0" xfId="0" applyBorder="1" applyAlignment="1" applyProtection="1">
      <alignment horizontal="left" vertical="center" indent="1"/>
      <protection hidden="1"/>
    </xf>
    <xf numFmtId="0" fontId="0" fillId="0" borderId="0" xfId="0" applyBorder="1" applyAlignment="1" applyProtection="1">
      <alignment horizontal="right" vertical="center" indent="1"/>
      <protection hidden="1"/>
    </xf>
    <xf numFmtId="2" fontId="0" fillId="0" borderId="0" xfId="0" applyNumberFormat="1" applyBorder="1" applyAlignment="1" applyProtection="1">
      <alignment horizontal="right" vertical="center" indent="1"/>
      <protection hidden="1"/>
    </xf>
    <xf numFmtId="1" fontId="0" fillId="0" borderId="0" xfId="0" applyNumberFormat="1" applyFont="1" applyFill="1" applyBorder="1" applyAlignment="1" applyProtection="1">
      <alignment horizontal="right" vertical="center"/>
      <protection hidden="1"/>
    </xf>
    <xf numFmtId="49" fontId="2" fillId="0" borderId="0" xfId="0" applyNumberFormat="1" applyFont="1" applyFill="1" applyBorder="1" applyAlignment="1" applyProtection="1">
      <alignment horizontal="center" vertical="center"/>
      <protection hidden="1"/>
    </xf>
    <xf numFmtId="49" fontId="0" fillId="0" borderId="0" xfId="0" applyNumberFormat="1" applyFill="1" applyBorder="1" applyAlignment="1" applyProtection="1">
      <alignment horizontal="center" vertical="center"/>
      <protection hidden="1"/>
    </xf>
    <xf numFmtId="49" fontId="5" fillId="0" borderId="0" xfId="0" applyNumberFormat="1" applyFont="1" applyFill="1" applyBorder="1" applyAlignment="1" applyProtection="1">
      <alignment horizontal="left" vertical="center" indent="1"/>
      <protection hidden="1"/>
    </xf>
    <xf numFmtId="1" fontId="0" fillId="0" borderId="0" xfId="0" applyNumberFormat="1" applyFont="1" applyBorder="1" applyAlignment="1" applyProtection="1">
      <alignment horizontal="right" vertical="center"/>
      <protection hidden="1"/>
    </xf>
    <xf numFmtId="49" fontId="3" fillId="0" borderId="0" xfId="0" applyNumberFormat="1" applyFont="1" applyBorder="1" applyAlignment="1" applyProtection="1">
      <alignment horizontal="center" vertical="center"/>
      <protection hidden="1"/>
    </xf>
    <xf numFmtId="49" fontId="0" fillId="0" borderId="0" xfId="0" applyNumberFormat="1" applyBorder="1" applyAlignment="1" applyProtection="1">
      <alignment horizontal="center" vertical="center"/>
      <protection hidden="1"/>
    </xf>
    <xf numFmtId="49" fontId="0" fillId="0" borderId="0" xfId="0" applyNumberFormat="1" applyBorder="1" applyAlignment="1" applyProtection="1">
      <alignment horizontal="left" vertical="center" indent="1"/>
      <protection hidden="1"/>
    </xf>
    <xf numFmtId="1" fontId="0" fillId="0" borderId="6" xfId="0" applyNumberFormat="1" applyFont="1" applyBorder="1" applyAlignment="1" applyProtection="1">
      <alignment horizontal="right" vertical="center"/>
      <protection hidden="1"/>
    </xf>
    <xf numFmtId="49" fontId="0" fillId="0" borderId="6" xfId="0" applyNumberFormat="1" applyBorder="1" applyAlignment="1" applyProtection="1">
      <alignment horizontal="center" vertical="center"/>
      <protection hidden="1"/>
    </xf>
    <xf numFmtId="49" fontId="6" fillId="0" borderId="6" xfId="0" applyNumberFormat="1" applyFont="1" applyBorder="1" applyAlignment="1" applyProtection="1">
      <alignment horizontal="left" vertical="center" indent="1"/>
      <protection hidden="1"/>
    </xf>
    <xf numFmtId="49" fontId="6" fillId="0" borderId="6" xfId="0" applyNumberFormat="1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right" vertical="center" indent="1"/>
      <protection hidden="1"/>
    </xf>
    <xf numFmtId="2" fontId="6" fillId="0" borderId="6" xfId="0" applyNumberFormat="1" applyFont="1" applyBorder="1" applyAlignment="1" applyProtection="1">
      <alignment horizontal="right" vertical="center" indent="1"/>
      <protection hidden="1"/>
    </xf>
    <xf numFmtId="0" fontId="0" fillId="0" borderId="0" xfId="0" applyBorder="1" applyAlignment="1" applyProtection="1">
      <alignment vertical="center"/>
      <protection hidden="1"/>
    </xf>
    <xf numFmtId="2" fontId="0" fillId="0" borderId="0" xfId="0" applyNumberFormat="1" applyBorder="1" applyAlignment="1" applyProtection="1">
      <alignment vertical="center"/>
      <protection hidden="1"/>
    </xf>
    <xf numFmtId="0" fontId="2" fillId="5" borderId="8" xfId="0" applyFont="1" applyFill="1" applyBorder="1" applyAlignment="1" applyProtection="1">
      <alignment horizontal="left" vertical="center" indent="1"/>
      <protection hidden="1"/>
    </xf>
    <xf numFmtId="0" fontId="3" fillId="5" borderId="8" xfId="0" applyFont="1" applyFill="1" applyBorder="1" applyAlignment="1" applyProtection="1">
      <alignment horizontal="right" vertical="center" indent="1"/>
      <protection hidden="1"/>
    </xf>
    <xf numFmtId="2" fontId="3" fillId="5" borderId="8" xfId="0" applyNumberFormat="1" applyFont="1" applyFill="1" applyBorder="1" applyAlignment="1" applyProtection="1">
      <alignment horizontal="right" vertical="center" indent="1"/>
      <protection hidden="1"/>
    </xf>
    <xf numFmtId="1" fontId="0" fillId="0" borderId="4" xfId="0" applyNumberFormat="1" applyFont="1" applyBorder="1" applyAlignment="1" applyProtection="1">
      <alignment horizontal="right" vertical="center"/>
      <protection hidden="1"/>
    </xf>
    <xf numFmtId="49" fontId="3" fillId="0" borderId="4" xfId="0" applyNumberFormat="1" applyFont="1" applyBorder="1" applyAlignment="1" applyProtection="1">
      <alignment horizontal="center" vertical="center"/>
      <protection hidden="1"/>
    </xf>
    <xf numFmtId="49" fontId="0" fillId="0" borderId="4" xfId="0" applyNumberFormat="1" applyBorder="1" applyAlignment="1" applyProtection="1">
      <alignment horizontal="center" vertical="center"/>
      <protection hidden="1"/>
    </xf>
    <xf numFmtId="49" fontId="0" fillId="0" borderId="4" xfId="0" applyNumberFormat="1" applyBorder="1" applyAlignment="1" applyProtection="1">
      <alignment horizontal="left" vertical="center" indent="1"/>
      <protection hidden="1"/>
    </xf>
    <xf numFmtId="0" fontId="2" fillId="0" borderId="4" xfId="0" applyFont="1" applyBorder="1" applyAlignment="1" applyProtection="1">
      <alignment horizontal="left" vertical="center" indent="1"/>
      <protection hidden="1"/>
    </xf>
    <xf numFmtId="0" fontId="0" fillId="0" borderId="4" xfId="0" applyBorder="1" applyAlignment="1" applyProtection="1">
      <alignment horizontal="right" vertical="center" indent="1"/>
      <protection hidden="1"/>
    </xf>
    <xf numFmtId="2" fontId="0" fillId="0" borderId="4" xfId="0" applyNumberFormat="1" applyBorder="1" applyAlignment="1" applyProtection="1">
      <alignment horizontal="right" vertical="center" indent="1"/>
      <protection hidden="1"/>
    </xf>
    <xf numFmtId="1" fontId="0" fillId="3" borderId="15" xfId="0" applyNumberFormat="1" applyFont="1" applyFill="1" applyBorder="1" applyAlignment="1" applyProtection="1">
      <alignment horizontal="right" vertical="center"/>
      <protection hidden="1"/>
    </xf>
    <xf numFmtId="1" fontId="0" fillId="4" borderId="0" xfId="0" applyNumberFormat="1" applyFont="1" applyFill="1" applyBorder="1" applyAlignment="1" applyProtection="1">
      <alignment horizontal="right" vertical="center"/>
      <protection hidden="1"/>
    </xf>
    <xf numFmtId="49" fontId="0" fillId="4" borderId="0" xfId="0" applyNumberFormat="1" applyFill="1" applyBorder="1" applyAlignment="1" applyProtection="1">
      <alignment horizontal="center" vertical="center"/>
      <protection hidden="1"/>
    </xf>
    <xf numFmtId="49" fontId="0" fillId="4" borderId="7" xfId="0" applyNumberFormat="1" applyFill="1" applyBorder="1" applyAlignment="1" applyProtection="1">
      <alignment horizontal="center" vertical="center"/>
      <protection hidden="1"/>
    </xf>
    <xf numFmtId="0" fontId="0" fillId="4" borderId="0" xfId="0" applyFill="1" applyBorder="1" applyAlignment="1" applyProtection="1">
      <alignment vertical="center"/>
      <protection hidden="1"/>
    </xf>
    <xf numFmtId="2" fontId="0" fillId="4" borderId="0" xfId="0" applyNumberFormat="1" applyFill="1" applyBorder="1" applyAlignment="1" applyProtection="1">
      <alignment vertical="center"/>
      <protection hidden="1"/>
    </xf>
    <xf numFmtId="1" fontId="0" fillId="4" borderId="4" xfId="0" applyNumberFormat="1" applyFont="1" applyFill="1" applyBorder="1" applyAlignment="1" applyProtection="1">
      <alignment horizontal="right" vertical="center"/>
      <protection hidden="1"/>
    </xf>
    <xf numFmtId="49" fontId="3" fillId="4" borderId="4" xfId="0" applyNumberFormat="1" applyFont="1" applyFill="1" applyBorder="1" applyAlignment="1" applyProtection="1">
      <alignment horizontal="center" vertical="center"/>
      <protection hidden="1"/>
    </xf>
    <xf numFmtId="49" fontId="0" fillId="4" borderId="4" xfId="0" applyNumberFormat="1" applyFill="1" applyBorder="1" applyAlignment="1" applyProtection="1">
      <alignment horizontal="center" vertical="center"/>
      <protection hidden="1"/>
    </xf>
    <xf numFmtId="49" fontId="0" fillId="4" borderId="4" xfId="0" applyNumberFormat="1" applyFill="1" applyBorder="1" applyAlignment="1" applyProtection="1">
      <alignment horizontal="left" vertical="center" indent="1"/>
      <protection hidden="1"/>
    </xf>
    <xf numFmtId="0" fontId="2" fillId="4" borderId="4" xfId="0" applyFont="1" applyFill="1" applyBorder="1" applyAlignment="1" applyProtection="1">
      <alignment horizontal="left" vertical="center" indent="1"/>
      <protection hidden="1"/>
    </xf>
    <xf numFmtId="0" fontId="0" fillId="4" borderId="4" xfId="0" applyFill="1" applyBorder="1" applyAlignment="1" applyProtection="1">
      <alignment horizontal="right" vertical="center" indent="1"/>
      <protection hidden="1"/>
    </xf>
    <xf numFmtId="2" fontId="0" fillId="4" borderId="4" xfId="0" applyNumberFormat="1" applyFill="1" applyBorder="1" applyAlignment="1" applyProtection="1">
      <alignment horizontal="right" vertical="center" indent="1"/>
      <protection hidden="1"/>
    </xf>
    <xf numFmtId="0" fontId="0" fillId="0" borderId="11" xfId="0" applyBorder="1" applyAlignment="1" applyProtection="1">
      <alignment horizontal="left" vertical="center" wrapText="1" indent="1"/>
      <protection hidden="1"/>
    </xf>
    <xf numFmtId="0" fontId="0" fillId="0" borderId="19" xfId="0" applyBorder="1" applyAlignment="1" applyProtection="1">
      <alignment horizontal="left" vertical="center" wrapText="1" indent="1"/>
      <protection hidden="1"/>
    </xf>
    <xf numFmtId="0" fontId="0" fillId="0" borderId="18" xfId="0" applyBorder="1" applyAlignment="1" applyProtection="1">
      <alignment horizontal="left" vertical="center" wrapText="1" indent="1"/>
      <protection hidden="1"/>
    </xf>
    <xf numFmtId="0" fontId="23" fillId="0" borderId="11" xfId="0" applyFont="1" applyBorder="1" applyAlignment="1" applyProtection="1">
      <alignment horizontal="left" vertical="center" indent="2"/>
      <protection hidden="1"/>
    </xf>
    <xf numFmtId="164" fontId="0" fillId="0" borderId="0" xfId="0" applyNumberFormat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  <protection hidden="1"/>
    </xf>
    <xf numFmtId="164" fontId="0" fillId="0" borderId="0" xfId="0" applyNumberFormat="1" applyBorder="1" applyAlignment="1" applyProtection="1">
      <alignment horizontal="right" vertical="center" indent="1"/>
      <protection hidden="1"/>
    </xf>
    <xf numFmtId="0" fontId="6" fillId="0" borderId="6" xfId="0" applyFont="1" applyBorder="1" applyAlignment="1" applyProtection="1">
      <alignment vertical="center"/>
      <protection hidden="1"/>
    </xf>
    <xf numFmtId="164" fontId="5" fillId="3" borderId="6" xfId="0" applyNumberFormat="1" applyFont="1" applyFill="1" applyBorder="1" applyAlignment="1" applyProtection="1">
      <alignment horizontal="right" vertical="center" indent="1"/>
      <protection hidden="1"/>
    </xf>
    <xf numFmtId="0" fontId="3" fillId="5" borderId="8" xfId="0" applyFont="1" applyFill="1" applyBorder="1" applyAlignment="1" applyProtection="1">
      <alignment vertical="center"/>
      <protection hidden="1"/>
    </xf>
    <xf numFmtId="164" fontId="2" fillId="5" borderId="8" xfId="0" applyNumberFormat="1" applyFont="1" applyFill="1" applyBorder="1" applyAlignment="1" applyProtection="1">
      <alignment horizontal="right" vertical="center" indent="1"/>
      <protection hidden="1"/>
    </xf>
    <xf numFmtId="164" fontId="2" fillId="5" borderId="3" xfId="0" applyNumberFormat="1" applyFont="1" applyFill="1" applyBorder="1" applyAlignment="1" applyProtection="1">
      <alignment horizontal="right" vertical="center" indent="1"/>
      <protection hidden="1"/>
    </xf>
    <xf numFmtId="164" fontId="0" fillId="0" borderId="4" xfId="0" applyNumberFormat="1" applyBorder="1" applyAlignment="1" applyProtection="1">
      <alignment horizontal="right" vertical="center" indent="1"/>
      <protection hidden="1"/>
    </xf>
    <xf numFmtId="164" fontId="2" fillId="4" borderId="4" xfId="0" applyNumberFormat="1" applyFont="1" applyFill="1" applyBorder="1" applyAlignment="1" applyProtection="1">
      <alignment horizontal="right" vertical="center" indent="1"/>
      <protection hidden="1"/>
    </xf>
    <xf numFmtId="164" fontId="0" fillId="4" borderId="4" xfId="0" applyNumberFormat="1" applyFill="1" applyBorder="1" applyAlignment="1" applyProtection="1">
      <alignment horizontal="right" vertical="center" indent="1"/>
      <protection hidden="1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 indent="1"/>
      <protection hidden="1"/>
    </xf>
    <xf numFmtId="0" fontId="2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 applyProtection="1">
      <alignment horizontal="left" vertical="center"/>
      <protection locked="0"/>
    </xf>
    <xf numFmtId="164" fontId="2" fillId="7" borderId="0" xfId="0" applyNumberFormat="1" applyFont="1" applyFill="1" applyBorder="1" applyAlignment="1" applyProtection="1">
      <alignment horizontal="right" vertical="center" indent="1"/>
      <protection locked="0"/>
    </xf>
    <xf numFmtId="164" fontId="0" fillId="7" borderId="0" xfId="0" applyNumberFormat="1" applyFill="1" applyBorder="1" applyAlignment="1" applyProtection="1">
      <alignment horizontal="right" vertical="center" indent="1"/>
      <protection locked="0"/>
    </xf>
    <xf numFmtId="164" fontId="0" fillId="7" borderId="0" xfId="0" applyNumberFormat="1" applyFill="1" applyAlignment="1" applyProtection="1">
      <alignment horizontal="right" vertical="center" indent="1"/>
      <protection locked="0"/>
    </xf>
    <xf numFmtId="164" fontId="0" fillId="7" borderId="0" xfId="0" applyNumberFormat="1" applyFont="1" applyFill="1" applyBorder="1" applyAlignment="1" applyProtection="1">
      <alignment horizontal="right" vertical="center" indent="1"/>
      <protection locked="0"/>
    </xf>
    <xf numFmtId="164" fontId="0" fillId="0" borderId="0" xfId="0" applyNumberFormat="1" applyFill="1" applyBorder="1" applyAlignment="1" applyProtection="1">
      <alignment horizontal="right" vertical="center" indent="1"/>
      <protection locked="0"/>
    </xf>
    <xf numFmtId="0" fontId="2" fillId="5" borderId="8" xfId="0" applyFont="1" applyFill="1" applyBorder="1" applyAlignment="1" applyProtection="1">
      <alignment horizontal="left" vertical="center" indent="1"/>
      <protection hidden="1"/>
    </xf>
    <xf numFmtId="49" fontId="3" fillId="0" borderId="9" xfId="0" applyNumberFormat="1" applyFont="1" applyBorder="1" applyAlignment="1" applyProtection="1">
      <alignment horizontal="center" vertical="center"/>
      <protection hidden="1"/>
    </xf>
    <xf numFmtId="0" fontId="2" fillId="5" borderId="8" xfId="0" applyFont="1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vertical="center"/>
      <protection hidden="1"/>
    </xf>
    <xf numFmtId="49" fontId="0" fillId="0" borderId="0" xfId="0" applyNumberFormat="1" applyFont="1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left" vertical="center" indent="1"/>
      <protection hidden="1"/>
    </xf>
    <xf numFmtId="0" fontId="0" fillId="0" borderId="0" xfId="0" applyFill="1" applyBorder="1" applyAlignment="1" applyProtection="1">
      <alignment horizontal="right" vertical="center" indent="1"/>
      <protection hidden="1"/>
    </xf>
    <xf numFmtId="2" fontId="0" fillId="0" borderId="0" xfId="0" applyNumberFormat="1" applyFill="1" applyBorder="1" applyAlignment="1" applyProtection="1">
      <alignment horizontal="right" vertical="center" indent="1"/>
      <protection hidden="1"/>
    </xf>
    <xf numFmtId="0" fontId="0" fillId="0" borderId="11" xfId="0" applyFill="1" applyBorder="1" applyAlignment="1" applyProtection="1">
      <alignment horizontal="left" vertical="center" wrapText="1" indent="1"/>
      <protection hidden="1"/>
    </xf>
    <xf numFmtId="164" fontId="0" fillId="0" borderId="0" xfId="0" applyNumberFormat="1" applyFill="1" applyBorder="1" applyAlignment="1" applyProtection="1">
      <alignment horizontal="right" vertical="center" indent="1"/>
      <protection hidden="1"/>
    </xf>
    <xf numFmtId="49" fontId="0" fillId="0" borderId="0" xfId="0" applyNumberFormat="1" applyFill="1" applyBorder="1" applyAlignment="1" applyProtection="1">
      <alignment horizontal="left" vertical="center" indent="1"/>
      <protection hidden="1"/>
    </xf>
    <xf numFmtId="1" fontId="0" fillId="0" borderId="6" xfId="0" applyNumberFormat="1" applyFont="1" applyFill="1" applyBorder="1" applyAlignment="1" applyProtection="1">
      <alignment horizontal="right" vertical="center"/>
      <protection hidden="1"/>
    </xf>
    <xf numFmtId="49" fontId="0" fillId="0" borderId="6" xfId="0" applyNumberFormat="1" applyFill="1" applyBorder="1" applyAlignment="1" applyProtection="1">
      <alignment horizontal="center" vertical="center"/>
      <protection hidden="1"/>
    </xf>
    <xf numFmtId="49" fontId="6" fillId="0" borderId="6" xfId="0" applyNumberFormat="1" applyFont="1" applyFill="1" applyBorder="1" applyAlignment="1" applyProtection="1">
      <alignment horizontal="left" vertical="center" indent="1"/>
      <protection hidden="1"/>
    </xf>
    <xf numFmtId="49" fontId="6" fillId="0" borderId="6" xfId="0" applyNumberFormat="1" applyFont="1" applyFill="1" applyBorder="1" applyAlignment="1" applyProtection="1">
      <alignment horizontal="center" vertical="center"/>
      <protection hidden="1"/>
    </xf>
    <xf numFmtId="0" fontId="5" fillId="0" borderId="6" xfId="0" applyFont="1" applyFill="1" applyBorder="1" applyAlignment="1" applyProtection="1">
      <alignment horizontal="left" vertical="center" indent="1"/>
      <protection hidden="1"/>
    </xf>
    <xf numFmtId="0" fontId="6" fillId="0" borderId="6" xfId="0" applyFont="1" applyFill="1" applyBorder="1" applyAlignment="1" applyProtection="1">
      <alignment horizontal="right" vertical="center" indent="1"/>
      <protection hidden="1"/>
    </xf>
    <xf numFmtId="2" fontId="6" fillId="0" borderId="6" xfId="0" applyNumberFormat="1" applyFont="1" applyFill="1" applyBorder="1" applyAlignment="1" applyProtection="1">
      <alignment horizontal="right" vertical="center" indent="1"/>
      <protection hidden="1"/>
    </xf>
    <xf numFmtId="0" fontId="6" fillId="0" borderId="6" xfId="0" applyFont="1" applyFill="1" applyBorder="1" applyAlignment="1" applyProtection="1">
      <alignment vertical="center"/>
      <protection hidden="1"/>
    </xf>
    <xf numFmtId="49" fontId="0" fillId="0" borderId="7" xfId="0" applyNumberForma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alignment vertical="center"/>
      <protection hidden="1"/>
    </xf>
    <xf numFmtId="2" fontId="0" fillId="0" borderId="7" xfId="0" applyNumberFormat="1" applyFill="1" applyBorder="1" applyAlignment="1" applyProtection="1">
      <alignment vertical="center"/>
      <protection hidden="1"/>
    </xf>
    <xf numFmtId="0" fontId="0" fillId="0" borderId="18" xfId="0" applyFill="1" applyBorder="1" applyAlignment="1" applyProtection="1">
      <alignment horizontal="left" vertical="center" wrapText="1" indent="1"/>
      <protection hidden="1"/>
    </xf>
    <xf numFmtId="0" fontId="0" fillId="0" borderId="19" xfId="0" applyFill="1" applyBorder="1" applyAlignment="1" applyProtection="1">
      <alignment horizontal="left" vertical="center" wrapText="1" indent="1"/>
      <protection hidden="1"/>
    </xf>
    <xf numFmtId="49" fontId="5" fillId="3" borderId="0" xfId="0" applyNumberFormat="1" applyFont="1" applyFill="1" applyAlignment="1" applyProtection="1">
      <alignment horizontal="left" vertical="center" wrapText="1" indent="1"/>
      <protection hidden="1"/>
    </xf>
    <xf numFmtId="1" fontId="0" fillId="0" borderId="24" xfId="0" applyNumberFormat="1" applyFont="1" applyFill="1" applyBorder="1" applyAlignment="1" applyProtection="1">
      <alignment horizontal="right" vertical="center"/>
      <protection hidden="1"/>
    </xf>
    <xf numFmtId="0" fontId="0" fillId="0" borderId="23" xfId="0" applyBorder="1" applyAlignment="1" applyProtection="1">
      <alignment horizontal="left" vertical="center" wrapText="1" indent="1"/>
      <protection hidden="1"/>
    </xf>
    <xf numFmtId="0" fontId="0" fillId="0" borderId="23" xfId="0" applyFill="1" applyBorder="1" applyAlignment="1" applyProtection="1">
      <alignment horizontal="left" vertical="center" wrapText="1" indent="1"/>
      <protection hidden="1"/>
    </xf>
    <xf numFmtId="49" fontId="3" fillId="0" borderId="0" xfId="0" applyNumberFormat="1" applyFont="1" applyFill="1" applyBorder="1" applyAlignment="1" applyProtection="1">
      <alignment horizontal="center" vertical="center"/>
      <protection hidden="1"/>
    </xf>
    <xf numFmtId="164" fontId="4" fillId="7" borderId="0" xfId="0" applyNumberFormat="1" applyFont="1" applyFill="1" applyBorder="1" applyAlignment="1" applyProtection="1">
      <alignment vertical="center"/>
      <protection locked="0"/>
    </xf>
    <xf numFmtId="1" fontId="0" fillId="0" borderId="24" xfId="0" applyNumberFormat="1" applyFont="1" applyBorder="1" applyAlignment="1" applyProtection="1">
      <alignment horizontal="right" vertical="center"/>
      <protection hidden="1"/>
    </xf>
    <xf numFmtId="0" fontId="12" fillId="0" borderId="11" xfId="0" applyFont="1" applyFill="1" applyBorder="1" applyAlignment="1" applyProtection="1">
      <alignment horizontal="left" vertical="center" wrapText="1" indent="1"/>
      <protection hidden="1"/>
    </xf>
    <xf numFmtId="2" fontId="0" fillId="0" borderId="9" xfId="0" applyNumberFormat="1" applyFill="1" applyBorder="1" applyAlignment="1" applyProtection="1">
      <alignment horizontal="right" vertical="center" indent="1"/>
      <protection hidden="1"/>
    </xf>
    <xf numFmtId="164" fontId="0" fillId="0" borderId="9" xfId="0" applyNumberFormat="1" applyFill="1" applyBorder="1" applyAlignment="1" applyProtection="1">
      <alignment horizontal="right" vertical="center" indent="1"/>
      <protection hidden="1"/>
    </xf>
    <xf numFmtId="0" fontId="3" fillId="7" borderId="0" xfId="0" applyFont="1" applyFill="1" applyBorder="1" applyAlignment="1" applyProtection="1">
      <alignment horizontal="left" vertical="center"/>
      <protection locked="0"/>
    </xf>
    <xf numFmtId="0" fontId="6" fillId="0" borderId="11" xfId="0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/>
    </xf>
    <xf numFmtId="0" fontId="27" fillId="0" borderId="0" xfId="0" applyNumberFormat="1" applyFont="1" applyFill="1" applyBorder="1" applyAlignment="1" applyProtection="1">
      <alignment horizontal="left" vertical="center"/>
    </xf>
    <xf numFmtId="49" fontId="27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left"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6" xfId="0" applyFont="1" applyFill="1" applyBorder="1" applyAlignment="1" applyProtection="1">
      <alignment horizontal="left" vertical="center"/>
    </xf>
    <xf numFmtId="49" fontId="27" fillId="0" borderId="6" xfId="0" applyNumberFormat="1" applyFont="1" applyFill="1" applyBorder="1" applyAlignment="1" applyProtection="1">
      <alignment horizontal="center" vertical="center"/>
    </xf>
    <xf numFmtId="0" fontId="28" fillId="0" borderId="6" xfId="0" applyFont="1" applyFill="1" applyBorder="1" applyAlignment="1" applyProtection="1">
      <alignment vertical="center"/>
    </xf>
    <xf numFmtId="0" fontId="27" fillId="0" borderId="6" xfId="0" applyFont="1" applyFill="1" applyBorder="1" applyAlignment="1" applyProtection="1">
      <alignment vertical="center"/>
    </xf>
    <xf numFmtId="0" fontId="6" fillId="7" borderId="16" xfId="0" applyFont="1" applyFill="1" applyBorder="1" applyAlignment="1" applyProtection="1">
      <alignment vertical="top"/>
      <protection locked="0"/>
    </xf>
    <xf numFmtId="0" fontId="6" fillId="0" borderId="16" xfId="0" applyFont="1" applyFill="1" applyBorder="1" applyAlignment="1" applyProtection="1">
      <alignment vertical="top"/>
    </xf>
    <xf numFmtId="0" fontId="6" fillId="0" borderId="17" xfId="0" applyFont="1" applyFill="1" applyBorder="1" applyAlignment="1" applyProtection="1">
      <alignment vertical="top"/>
    </xf>
    <xf numFmtId="0" fontId="6" fillId="0" borderId="10" xfId="0" applyFont="1" applyFill="1" applyBorder="1" applyAlignment="1" applyProtection="1">
      <alignment vertical="top"/>
    </xf>
    <xf numFmtId="0" fontId="0" fillId="0" borderId="0" xfId="0" applyFill="1" applyAlignment="1">
      <alignment horizontal="center" vertical="center" wrapText="1"/>
    </xf>
    <xf numFmtId="0" fontId="0" fillId="0" borderId="0" xfId="0" applyAlignment="1" applyProtection="1">
      <alignment vertical="center"/>
    </xf>
    <xf numFmtId="1" fontId="0" fillId="0" borderId="0" xfId="0" applyNumberFormat="1" applyFont="1" applyAlignment="1" applyProtection="1">
      <alignment horizontal="right" vertical="center"/>
    </xf>
    <xf numFmtId="49" fontId="0" fillId="0" borderId="0" xfId="0" applyNumberFormat="1" applyAlignment="1" applyProtection="1">
      <alignment horizontal="center" vertical="center"/>
    </xf>
    <xf numFmtId="49" fontId="17" fillId="0" borderId="0" xfId="0" applyNumberFormat="1" applyFont="1" applyFill="1" applyAlignment="1" applyProtection="1">
      <alignment horizontal="left" vertical="center" indent="2"/>
    </xf>
    <xf numFmtId="0" fontId="18" fillId="0" borderId="0" xfId="0" applyFont="1" applyAlignment="1" applyProtection="1">
      <alignment horizontal="left" vertical="center" indent="2"/>
    </xf>
    <xf numFmtId="49" fontId="7" fillId="0" borderId="0" xfId="0" applyNumberFormat="1" applyFont="1" applyFill="1" applyAlignment="1" applyProtection="1">
      <alignment horizontal="left" vertical="center" indent="2"/>
    </xf>
    <xf numFmtId="0" fontId="0" fillId="0" borderId="0" xfId="0" applyFill="1" applyAlignment="1" applyProtection="1">
      <alignment horizontal="left" vertical="center" indent="2"/>
    </xf>
    <xf numFmtId="0" fontId="0" fillId="2" borderId="1" xfId="0" applyFill="1" applyBorder="1" applyAlignment="1" applyProtection="1">
      <alignment horizontal="left" vertical="center" wrapText="1" indent="2"/>
    </xf>
    <xf numFmtId="0" fontId="0" fillId="0" borderId="0" xfId="0" applyAlignment="1" applyProtection="1">
      <alignment horizontal="left" vertical="center" indent="2"/>
    </xf>
    <xf numFmtId="164" fontId="2" fillId="0" borderId="0" xfId="0" applyNumberFormat="1" applyFont="1" applyAlignment="1" applyProtection="1">
      <alignment horizontal="left" vertical="center" indent="2"/>
    </xf>
    <xf numFmtId="164" fontId="7" fillId="0" borderId="1" xfId="0" applyNumberFormat="1" applyFont="1" applyBorder="1" applyAlignment="1" applyProtection="1">
      <alignment horizontal="left" vertical="center" indent="2"/>
    </xf>
    <xf numFmtId="49" fontId="3" fillId="0" borderId="0" xfId="0" applyNumberFormat="1" applyFont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4" borderId="0" xfId="0" applyFill="1" applyAlignment="1" applyProtection="1">
      <alignment horizontal="center" vertical="center"/>
    </xf>
    <xf numFmtId="1" fontId="0" fillId="4" borderId="0" xfId="0" applyNumberFormat="1" applyFont="1" applyFill="1" applyBorder="1" applyAlignment="1" applyProtection="1">
      <alignment horizontal="center" vertical="center"/>
    </xf>
    <xf numFmtId="49" fontId="0" fillId="4" borderId="0" xfId="0" applyNumberFormat="1" applyFont="1" applyFill="1" applyBorder="1" applyAlignment="1" applyProtection="1">
      <alignment horizontal="center" vertical="center"/>
    </xf>
    <xf numFmtId="49" fontId="0" fillId="4" borderId="0" xfId="0" applyNumberFormat="1" applyFill="1" applyAlignment="1" applyProtection="1">
      <alignment horizontal="center" vertical="center"/>
    </xf>
    <xf numFmtId="0" fontId="0" fillId="4" borderId="0" xfId="0" applyFill="1" applyBorder="1" applyAlignment="1" applyProtection="1">
      <alignment horizontal="center" vertical="center"/>
    </xf>
    <xf numFmtId="1" fontId="0" fillId="0" borderId="9" xfId="0" applyNumberFormat="1" applyFont="1" applyBorder="1" applyAlignment="1" applyProtection="1">
      <alignment horizontal="right" vertical="center"/>
    </xf>
    <xf numFmtId="49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2" fontId="0" fillId="0" borderId="9" xfId="0" applyNumberForma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8" xfId="0" applyBorder="1" applyAlignment="1" applyProtection="1">
      <alignment horizontal="left" vertical="center" wrapText="1" indent="1"/>
    </xf>
    <xf numFmtId="1" fontId="0" fillId="3" borderId="5" xfId="0" applyNumberFormat="1" applyFont="1" applyFill="1" applyBorder="1" applyAlignment="1" applyProtection="1">
      <alignment horizontal="right" vertical="center"/>
    </xf>
    <xf numFmtId="49" fontId="2" fillId="3" borderId="5" xfId="0" applyNumberFormat="1" applyFont="1" applyFill="1" applyBorder="1" applyAlignment="1" applyProtection="1">
      <alignment horizontal="center" vertical="center"/>
    </xf>
    <xf numFmtId="49" fontId="0" fillId="3" borderId="0" xfId="0" applyNumberFormat="1" applyFill="1" applyBorder="1" applyAlignment="1" applyProtection="1">
      <alignment horizontal="center" vertical="center"/>
    </xf>
    <xf numFmtId="49" fontId="5" fillId="3" borderId="0" xfId="0" applyNumberFormat="1" applyFont="1" applyFill="1" applyBorder="1" applyAlignment="1" applyProtection="1">
      <alignment horizontal="left" vertical="center" indent="1"/>
    </xf>
    <xf numFmtId="49" fontId="0" fillId="0" borderId="0" xfId="0" applyNumberFormat="1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right" vertical="center" indent="1"/>
    </xf>
    <xf numFmtId="2" fontId="0" fillId="0" borderId="0" xfId="0" applyNumberFormat="1" applyBorder="1" applyAlignment="1" applyProtection="1">
      <alignment horizontal="right" vertical="center" indent="1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left" vertical="center" wrapText="1" indent="1"/>
    </xf>
    <xf numFmtId="1" fontId="0" fillId="0" borderId="0" xfId="0" applyNumberFormat="1" applyFont="1" applyBorder="1" applyAlignment="1" applyProtection="1">
      <alignment horizontal="right" vertical="center"/>
    </xf>
    <xf numFmtId="49" fontId="3" fillId="0" borderId="0" xfId="0" applyNumberFormat="1" applyFon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horizontal="left" vertical="center" indent="1"/>
    </xf>
    <xf numFmtId="164" fontId="0" fillId="0" borderId="0" xfId="0" applyNumberFormat="1" applyFont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vertical="center"/>
    </xf>
    <xf numFmtId="49" fontId="0" fillId="0" borderId="6" xfId="0" applyNumberFormat="1" applyBorder="1" applyAlignment="1" applyProtection="1">
      <alignment horizontal="center" vertical="center"/>
    </xf>
    <xf numFmtId="49" fontId="6" fillId="0" borderId="6" xfId="0" applyNumberFormat="1" applyFont="1" applyBorder="1" applyAlignment="1" applyProtection="1">
      <alignment horizontal="left" vertical="center" indent="1"/>
    </xf>
    <xf numFmtId="49" fontId="6" fillId="0" borderId="6" xfId="0" applyNumberFormat="1" applyFont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left" vertical="center" indent="1"/>
    </xf>
    <xf numFmtId="0" fontId="6" fillId="0" borderId="6" xfId="0" applyFont="1" applyBorder="1" applyAlignment="1" applyProtection="1">
      <alignment horizontal="right" vertical="center" indent="1"/>
    </xf>
    <xf numFmtId="2" fontId="6" fillId="0" borderId="6" xfId="0" applyNumberFormat="1" applyFont="1" applyBorder="1" applyAlignment="1" applyProtection="1">
      <alignment horizontal="right" vertical="center" indent="1"/>
    </xf>
    <xf numFmtId="0" fontId="6" fillId="0" borderId="6" xfId="0" applyFont="1" applyBorder="1" applyAlignment="1" applyProtection="1">
      <alignment vertical="center"/>
    </xf>
    <xf numFmtId="164" fontId="5" fillId="3" borderId="6" xfId="0" applyNumberFormat="1" applyFont="1" applyFill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left" vertical="center" wrapText="1" indent="1"/>
    </xf>
    <xf numFmtId="49" fontId="0" fillId="0" borderId="7" xfId="0" applyNumberFormat="1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/>
    </xf>
    <xf numFmtId="2" fontId="0" fillId="0" borderId="7" xfId="0" applyNumberForma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" fontId="0" fillId="3" borderId="15" xfId="0" applyNumberFormat="1" applyFont="1" applyFill="1" applyBorder="1" applyAlignment="1" applyProtection="1">
      <alignment horizontal="right" vertical="center"/>
    </xf>
    <xf numFmtId="1" fontId="0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 wrapText="1" indent="1"/>
    </xf>
    <xf numFmtId="0" fontId="0" fillId="0" borderId="0" xfId="0" applyBorder="1" applyAlignment="1" applyProtection="1">
      <alignment vertical="center"/>
    </xf>
    <xf numFmtId="2" fontId="0" fillId="0" borderId="0" xfId="0" applyNumberForma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left" vertical="center" indent="1"/>
    </xf>
    <xf numFmtId="0" fontId="3" fillId="5" borderId="8" xfId="0" applyFont="1" applyFill="1" applyBorder="1" applyAlignment="1" applyProtection="1">
      <alignment horizontal="right" vertical="center" indent="1"/>
    </xf>
    <xf numFmtId="2" fontId="3" fillId="5" borderId="8" xfId="0" applyNumberFormat="1" applyFont="1" applyFill="1" applyBorder="1" applyAlignment="1" applyProtection="1">
      <alignment horizontal="right" vertical="center" indent="1"/>
    </xf>
    <xf numFmtId="0" fontId="3" fillId="5" borderId="8" xfId="0" applyFont="1" applyFill="1" applyBorder="1" applyAlignment="1" applyProtection="1">
      <alignment vertical="center"/>
    </xf>
    <xf numFmtId="164" fontId="2" fillId="5" borderId="8" xfId="0" applyNumberFormat="1" applyFont="1" applyFill="1" applyBorder="1" applyAlignment="1" applyProtection="1">
      <alignment horizontal="right" vertical="center" indent="1"/>
    </xf>
    <xf numFmtId="164" fontId="2" fillId="5" borderId="3" xfId="0" applyNumberFormat="1" applyFont="1" applyFill="1" applyBorder="1" applyAlignment="1" applyProtection="1">
      <alignment horizontal="right" vertical="center" indent="1"/>
    </xf>
    <xf numFmtId="1" fontId="0" fillId="0" borderId="4" xfId="0" applyNumberFormat="1" applyFont="1" applyBorder="1" applyAlignment="1" applyProtection="1">
      <alignment horizontal="right" vertical="center"/>
    </xf>
    <xf numFmtId="49" fontId="3" fillId="0" borderId="4" xfId="0" applyNumberFormat="1" applyFon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 indent="1"/>
    </xf>
    <xf numFmtId="0" fontId="2" fillId="0" borderId="4" xfId="0" applyFont="1" applyBorder="1" applyAlignment="1" applyProtection="1">
      <alignment horizontal="left" vertical="center" indent="1"/>
    </xf>
    <xf numFmtId="0" fontId="0" fillId="0" borderId="4" xfId="0" applyBorder="1" applyAlignment="1" applyProtection="1">
      <alignment horizontal="right" vertical="center" indent="1"/>
    </xf>
    <xf numFmtId="2" fontId="0" fillId="0" borderId="4" xfId="0" applyNumberFormat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164" fontId="2" fillId="4" borderId="4" xfId="0" applyNumberFormat="1" applyFont="1" applyFill="1" applyBorder="1" applyAlignment="1" applyProtection="1">
      <alignment horizontal="right" vertical="center" indent="1"/>
    </xf>
    <xf numFmtId="0" fontId="0" fillId="4" borderId="4" xfId="0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left" vertical="center" wrapText="1" indent="1"/>
    </xf>
    <xf numFmtId="49" fontId="0" fillId="0" borderId="0" xfId="0" applyNumberFormat="1" applyAlignment="1" applyProtection="1">
      <alignment horizontal="left" vertical="center" indent="1"/>
    </xf>
    <xf numFmtId="0" fontId="0" fillId="0" borderId="0" xfId="0" applyAlignment="1" applyProtection="1">
      <alignment horizontal="right" vertical="center" indent="1"/>
    </xf>
    <xf numFmtId="2" fontId="0" fillId="0" borderId="0" xfId="0" applyNumberFormat="1" applyAlignment="1" applyProtection="1">
      <alignment horizontal="right" vertical="center" indent="1"/>
    </xf>
    <xf numFmtId="164" fontId="0" fillId="0" borderId="0" xfId="0" applyNumberFormat="1" applyAlignment="1" applyProtection="1">
      <alignment horizontal="right" vertical="center" indent="1"/>
    </xf>
    <xf numFmtId="49" fontId="0" fillId="3" borderId="0" xfId="0" applyNumberFormat="1" applyFill="1" applyAlignment="1" applyProtection="1">
      <alignment horizontal="center" vertical="center"/>
    </xf>
    <xf numFmtId="49" fontId="0" fillId="0" borderId="0" xfId="0" applyNumberFormat="1" applyFont="1" applyAlignment="1" applyProtection="1">
      <alignment horizontal="left" vertical="center" indent="1"/>
    </xf>
    <xf numFmtId="0" fontId="0" fillId="0" borderId="0" xfId="0" applyAlignment="1" applyProtection="1">
      <alignment horizontal="left" vertical="center" indent="1"/>
    </xf>
    <xf numFmtId="49" fontId="5" fillId="3" borderId="0" xfId="0" applyNumberFormat="1" applyFont="1" applyFill="1" applyAlignment="1" applyProtection="1">
      <alignment horizontal="left" vertical="center" indent="1"/>
    </xf>
    <xf numFmtId="0" fontId="25" fillId="0" borderId="0" xfId="0" applyFont="1" applyAlignment="1" applyProtection="1">
      <alignment horizontal="left" vertical="center" indent="1"/>
    </xf>
    <xf numFmtId="2" fontId="0" fillId="0" borderId="0" xfId="0" applyNumberFormat="1" applyAlignment="1" applyProtection="1">
      <alignment vertical="center"/>
    </xf>
    <xf numFmtId="1" fontId="0" fillId="0" borderId="0" xfId="0" applyNumberFormat="1" applyFont="1" applyFill="1" applyAlignment="1" applyProtection="1">
      <alignment horizontal="right" vertical="center"/>
    </xf>
    <xf numFmtId="49" fontId="3" fillId="0" borderId="0" xfId="0" applyNumberFormat="1" applyFont="1" applyFill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left" vertical="center" indent="1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right" vertical="center" indent="1"/>
    </xf>
    <xf numFmtId="2" fontId="0" fillId="0" borderId="0" xfId="0" applyNumberForma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horizontal="right" vertical="center" indent="1"/>
    </xf>
    <xf numFmtId="0" fontId="0" fillId="0" borderId="18" xfId="0" applyFill="1" applyBorder="1" applyAlignment="1" applyProtection="1">
      <alignment horizontal="left" vertical="center" wrapText="1" indent="1"/>
    </xf>
    <xf numFmtId="49" fontId="0" fillId="0" borderId="0" xfId="0" applyNumberFormat="1" applyFont="1" applyFill="1" applyAlignment="1" applyProtection="1">
      <alignment horizontal="left" vertical="center" indent="1"/>
    </xf>
    <xf numFmtId="0" fontId="0" fillId="0" borderId="0" xfId="0" applyFill="1" applyAlignment="1" applyProtection="1">
      <alignment horizontal="left" vertical="center" indent="1"/>
    </xf>
    <xf numFmtId="164" fontId="0" fillId="0" borderId="0" xfId="0" applyNumberFormat="1" applyFont="1" applyAlignment="1" applyProtection="1">
      <alignment horizontal="right" vertical="center" indent="1"/>
    </xf>
    <xf numFmtId="0" fontId="0" fillId="0" borderId="11" xfId="0" applyFill="1" applyBorder="1" applyAlignment="1" applyProtection="1">
      <alignment horizontal="left" vertical="center" wrapText="1" indent="1"/>
    </xf>
    <xf numFmtId="1" fontId="0" fillId="0" borderId="6" xfId="0" applyNumberFormat="1" applyFont="1" applyFill="1" applyBorder="1" applyAlignment="1" applyProtection="1">
      <alignment horizontal="right" vertical="center"/>
    </xf>
    <xf numFmtId="49" fontId="0" fillId="0" borderId="6" xfId="0" applyNumberFormat="1" applyFill="1" applyBorder="1" applyAlignment="1" applyProtection="1">
      <alignment horizontal="center" vertical="center"/>
    </xf>
    <xf numFmtId="49" fontId="6" fillId="0" borderId="6" xfId="0" applyNumberFormat="1" applyFont="1" applyFill="1" applyBorder="1" applyAlignment="1" applyProtection="1">
      <alignment horizontal="left" vertical="center" indent="1"/>
    </xf>
    <xf numFmtId="49" fontId="6" fillId="0" borderId="6" xfId="0" applyNumberFormat="1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right" vertical="center" indent="1"/>
    </xf>
    <xf numFmtId="2" fontId="6" fillId="0" borderId="6" xfId="0" applyNumberFormat="1" applyFont="1" applyFill="1" applyBorder="1" applyAlignment="1" applyProtection="1">
      <alignment horizontal="right" vertical="center" indent="1"/>
    </xf>
    <xf numFmtId="0" fontId="6" fillId="0" borderId="6" xfId="0" applyFont="1" applyFill="1" applyBorder="1" applyAlignment="1" applyProtection="1">
      <alignment vertical="center"/>
    </xf>
    <xf numFmtId="0" fontId="0" fillId="0" borderId="23" xfId="0" applyFill="1" applyBorder="1" applyAlignment="1" applyProtection="1">
      <alignment horizontal="left" vertical="center" wrapText="1" indent="1"/>
    </xf>
    <xf numFmtId="2" fontId="0" fillId="0" borderId="0" xfId="0" applyNumberFormat="1" applyFill="1" applyAlignment="1" applyProtection="1">
      <alignment vertical="center"/>
    </xf>
    <xf numFmtId="1" fontId="0" fillId="0" borderId="4" xfId="0" applyNumberFormat="1" applyFont="1" applyFill="1" applyBorder="1" applyAlignment="1" applyProtection="1">
      <alignment horizontal="right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left" vertical="center" indent="1"/>
    </xf>
    <xf numFmtId="0" fontId="2" fillId="0" borderId="4" xfId="0" applyFont="1" applyFill="1" applyBorder="1" applyAlignment="1" applyProtection="1">
      <alignment horizontal="left" vertical="center" indent="1"/>
    </xf>
    <xf numFmtId="0" fontId="0" fillId="0" borderId="4" xfId="0" applyFill="1" applyBorder="1" applyAlignment="1" applyProtection="1">
      <alignment horizontal="right" vertical="center" indent="1"/>
    </xf>
    <xf numFmtId="2" fontId="0" fillId="0" borderId="4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2" fillId="0" borderId="4" xfId="0" applyNumberFormat="1" applyFont="1" applyFill="1" applyBorder="1" applyAlignment="1" applyProtection="1">
      <alignment horizontal="right" vertical="center" indent="1"/>
    </xf>
    <xf numFmtId="49" fontId="5" fillId="3" borderId="0" xfId="0" applyNumberFormat="1" applyFont="1" applyFill="1" applyAlignment="1" applyProtection="1">
      <alignment horizontal="left" vertical="center" wrapText="1" indent="1"/>
    </xf>
    <xf numFmtId="49" fontId="0" fillId="0" borderId="0" xfId="0" applyNumberFormat="1" applyFont="1" applyFill="1" applyBorder="1" applyAlignment="1" applyProtection="1">
      <alignment horizontal="left" vertical="center" indent="1"/>
    </xf>
    <xf numFmtId="0" fontId="0" fillId="0" borderId="0" xfId="0" applyFill="1" applyBorder="1" applyAlignment="1" applyProtection="1">
      <alignment horizontal="left" vertical="center" indent="1"/>
    </xf>
    <xf numFmtId="0" fontId="0" fillId="0" borderId="0" xfId="0" applyFill="1" applyBorder="1" applyAlignment="1" applyProtection="1">
      <alignment horizontal="right" vertical="center" indent="1"/>
    </xf>
    <xf numFmtId="2" fontId="0" fillId="0" borderId="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49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Fill="1" applyBorder="1" applyAlignment="1" applyProtection="1">
      <alignment vertical="center"/>
    </xf>
    <xf numFmtId="1" fontId="0" fillId="0" borderId="24" xfId="0" applyNumberFormat="1" applyFont="1" applyFill="1" applyBorder="1" applyAlignment="1" applyProtection="1">
      <alignment horizontal="right" vertical="center"/>
    </xf>
    <xf numFmtId="0" fontId="0" fillId="0" borderId="19" xfId="0" applyFill="1" applyBorder="1" applyAlignment="1" applyProtection="1">
      <alignment horizontal="left" vertical="center" wrapText="1" indent="1"/>
    </xf>
    <xf numFmtId="49" fontId="3" fillId="0" borderId="9" xfId="0" applyNumberFormat="1" applyFont="1" applyBorder="1" applyAlignment="1" applyProtection="1">
      <alignment horizontal="center" vertical="center"/>
    </xf>
    <xf numFmtId="49" fontId="0" fillId="0" borderId="9" xfId="0" applyNumberFormat="1" applyBorder="1" applyAlignment="1" applyProtection="1">
      <alignment horizontal="left" vertical="center" indent="1"/>
    </xf>
    <xf numFmtId="0" fontId="0" fillId="0" borderId="9" xfId="0" applyBorder="1" applyAlignment="1" applyProtection="1">
      <alignment horizontal="right" vertical="center" indent="1"/>
    </xf>
    <xf numFmtId="2" fontId="0" fillId="0" borderId="9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" fontId="24" fillId="3" borderId="15" xfId="0" applyNumberFormat="1" applyFont="1" applyFill="1" applyBorder="1" applyAlignment="1" applyProtection="1">
      <alignment horizontal="right" vertical="center"/>
    </xf>
    <xf numFmtId="49" fontId="24" fillId="3" borderId="0" xfId="0" applyNumberFormat="1" applyFont="1" applyFill="1" applyBorder="1" applyAlignment="1" applyProtection="1">
      <alignment horizontal="center" vertical="center"/>
    </xf>
    <xf numFmtId="49" fontId="24" fillId="0" borderId="0" xfId="0" applyNumberFormat="1" applyFont="1" applyBorder="1" applyAlignment="1" applyProtection="1">
      <alignment horizontal="left" vertical="center" inden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Font="1" applyBorder="1" applyAlignment="1" applyProtection="1">
      <alignment horizontal="right" vertical="center" indent="1"/>
    </xf>
    <xf numFmtId="2" fontId="24" fillId="0" borderId="0" xfId="0" applyNumberFormat="1" applyFont="1" applyBorder="1" applyAlignment="1" applyProtection="1">
      <alignment horizontal="right" vertical="center" indent="1"/>
    </xf>
    <xf numFmtId="0" fontId="23" fillId="0" borderId="23" xfId="0" applyFont="1" applyBorder="1" applyAlignment="1" applyProtection="1">
      <alignment horizontal="left" vertical="center" indent="2"/>
    </xf>
    <xf numFmtId="49" fontId="5" fillId="3" borderId="0" xfId="0" applyNumberFormat="1" applyFont="1" applyFill="1" applyBorder="1" applyAlignment="1" applyProtection="1">
      <alignment horizontal="left" vertical="center" wrapText="1" indent="1"/>
    </xf>
    <xf numFmtId="0" fontId="23" fillId="0" borderId="11" xfId="0" applyFont="1" applyBorder="1" applyAlignment="1" applyProtection="1">
      <alignment horizontal="left" vertical="center" indent="2"/>
    </xf>
    <xf numFmtId="0" fontId="3" fillId="0" borderId="9" xfId="0" applyFont="1" applyFill="1" applyBorder="1" applyAlignment="1" applyProtection="1">
      <alignment horizontal="left" vertical="center" indent="1"/>
    </xf>
    <xf numFmtId="0" fontId="3" fillId="0" borderId="9" xfId="0" applyFont="1" applyBorder="1" applyAlignment="1" applyProtection="1">
      <alignment vertical="center"/>
    </xf>
    <xf numFmtId="0" fontId="3" fillId="0" borderId="18" xfId="0" applyFont="1" applyBorder="1" applyAlignment="1" applyProtection="1">
      <alignment vertical="center"/>
    </xf>
    <xf numFmtId="0" fontId="3" fillId="0" borderId="21" xfId="0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 applyProtection="1">
      <alignment horizontal="left" vertical="center" indent="1"/>
    </xf>
    <xf numFmtId="49" fontId="3" fillId="0" borderId="0" xfId="0" applyNumberFormat="1" applyFont="1" applyFill="1" applyBorder="1" applyAlignment="1" applyProtection="1">
      <alignment horizontal="left" vertical="center" indent="1"/>
    </xf>
    <xf numFmtId="0" fontId="3" fillId="0" borderId="0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49" fontId="2" fillId="0" borderId="21" xfId="0" applyNumberFormat="1" applyFont="1" applyFill="1" applyBorder="1" applyAlignment="1" applyProtection="1">
      <alignment horizontal="left" vertical="center" indent="1"/>
    </xf>
    <xf numFmtId="0" fontId="3" fillId="0" borderId="0" xfId="0" applyFont="1" applyFill="1" applyBorder="1" applyAlignment="1" applyProtection="1">
      <alignment horizontal="left" vertical="center" indent="1"/>
    </xf>
    <xf numFmtId="0" fontId="2" fillId="0" borderId="6" xfId="0" applyFont="1" applyBorder="1" applyAlignment="1" applyProtection="1">
      <alignment horizontal="left" vertical="center"/>
    </xf>
    <xf numFmtId="49" fontId="3" fillId="0" borderId="6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/>
    </xf>
    <xf numFmtId="49" fontId="20" fillId="0" borderId="6" xfId="1" applyNumberFormat="1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/>
    </xf>
    <xf numFmtId="0" fontId="3" fillId="0" borderId="23" xfId="0" applyFont="1" applyBorder="1" applyAlignment="1" applyProtection="1">
      <alignment vertical="center"/>
    </xf>
    <xf numFmtId="49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6" fillId="0" borderId="11" xfId="0" applyFont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3" fillId="0" borderId="22" xfId="0" applyFont="1" applyBorder="1" applyAlignment="1" applyProtection="1">
      <alignment vertical="center"/>
    </xf>
    <xf numFmtId="1" fontId="3" fillId="0" borderId="4" xfId="0" applyNumberFormat="1" applyFont="1" applyBorder="1" applyAlignment="1" applyProtection="1">
      <alignment horizontal="right" vertical="center"/>
    </xf>
    <xf numFmtId="0" fontId="3" fillId="0" borderId="4" xfId="0" applyFont="1" applyBorder="1" applyAlignment="1" applyProtection="1">
      <alignment vertical="center"/>
    </xf>
    <xf numFmtId="0" fontId="3" fillId="0" borderId="19" xfId="0" applyFont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vertical="center"/>
    </xf>
    <xf numFmtId="0" fontId="0" fillId="0" borderId="11" xfId="0" applyBorder="1" applyAlignment="1" applyProtection="1">
      <alignment horizontal="left" vertical="center" indent="2"/>
    </xf>
    <xf numFmtId="164" fontId="1" fillId="0" borderId="0" xfId="0" applyNumberFormat="1" applyFont="1" applyBorder="1" applyAlignment="1" applyProtection="1">
      <alignment vertical="center"/>
    </xf>
    <xf numFmtId="164" fontId="21" fillId="0" borderId="9" xfId="0" applyNumberFormat="1" applyFont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 indent="2"/>
    </xf>
    <xf numFmtId="0" fontId="22" fillId="0" borderId="21" xfId="0" applyFont="1" applyBorder="1" applyAlignment="1" applyProtection="1">
      <alignment vertical="center"/>
    </xf>
    <xf numFmtId="1" fontId="22" fillId="0" borderId="0" xfId="0" applyNumberFormat="1" applyFont="1" applyBorder="1" applyAlignment="1" applyProtection="1">
      <alignment horizontal="right" vertical="center"/>
    </xf>
    <xf numFmtId="49" fontId="22" fillId="0" borderId="0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horizontal="left" vertical="center" indent="1"/>
    </xf>
    <xf numFmtId="0" fontId="7" fillId="0" borderId="4" xfId="0" applyFont="1" applyBorder="1" applyAlignment="1" applyProtection="1">
      <alignment horizontal="lef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left" vertical="center" indent="2"/>
    </xf>
    <xf numFmtId="0" fontId="7" fillId="0" borderId="0" xfId="0" applyFont="1" applyAlignment="1" applyProtection="1">
      <alignment horizontal="left" vertical="center" indent="1"/>
    </xf>
    <xf numFmtId="0" fontId="7" fillId="0" borderId="0" xfId="0" applyFont="1" applyBorder="1" applyAlignment="1" applyProtection="1">
      <alignment horizontal="left" vertical="center" indent="1"/>
    </xf>
    <xf numFmtId="164" fontId="7" fillId="0" borderId="0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0" fillId="0" borderId="11" xfId="0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27" fillId="0" borderId="11" xfId="0" applyFont="1" applyBorder="1" applyAlignment="1" applyProtection="1">
      <alignment horizontal="left" vertical="center" indent="1"/>
    </xf>
    <xf numFmtId="0" fontId="22" fillId="0" borderId="11" xfId="0" applyFont="1" applyBorder="1" applyAlignment="1" applyProtection="1">
      <alignment vertical="center"/>
    </xf>
    <xf numFmtId="49" fontId="8" fillId="0" borderId="22" xfId="0" applyNumberFormat="1" applyFont="1" applyFill="1" applyBorder="1" applyAlignment="1" applyProtection="1">
      <alignment horizontal="left" vertical="center"/>
    </xf>
    <xf numFmtId="0" fontId="8" fillId="0" borderId="4" xfId="0" applyFont="1" applyBorder="1" applyAlignment="1" applyProtection="1">
      <alignment vertical="center"/>
    </xf>
    <xf numFmtId="164" fontId="1" fillId="0" borderId="4" xfId="0" applyNumberFormat="1" applyFont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49" fontId="8" fillId="4" borderId="0" xfId="0" applyNumberFormat="1" applyFont="1" applyFill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49" fontId="8" fillId="4" borderId="20" xfId="0" applyNumberFormat="1" applyFont="1" applyFill="1" applyBorder="1" applyAlignment="1" applyProtection="1">
      <alignment horizontal="left" vertical="center"/>
    </xf>
    <xf numFmtId="0" fontId="8" fillId="0" borderId="9" xfId="0" applyFont="1" applyBorder="1" applyAlignment="1" applyProtection="1">
      <alignment vertical="center"/>
    </xf>
    <xf numFmtId="164" fontId="1" fillId="0" borderId="9" xfId="0" applyNumberFormat="1" applyFont="1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16" fillId="0" borderId="11" xfId="0" applyFont="1" applyBorder="1" applyAlignment="1" applyProtection="1">
      <alignment vertical="center"/>
    </xf>
    <xf numFmtId="0" fontId="16" fillId="0" borderId="21" xfId="0" applyFont="1" applyBorder="1" applyAlignment="1" applyProtection="1">
      <alignment vertical="center"/>
    </xf>
    <xf numFmtId="1" fontId="16" fillId="0" borderId="0" xfId="0" applyNumberFormat="1" applyFont="1" applyBorder="1" applyAlignment="1" applyProtection="1">
      <alignment horizontal="right" vertical="center"/>
    </xf>
    <xf numFmtId="49" fontId="16" fillId="0" borderId="0" xfId="0" applyNumberFormat="1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/>
    </xf>
    <xf numFmtId="0" fontId="14" fillId="0" borderId="11" xfId="0" applyFont="1" applyBorder="1" applyAlignment="1" applyProtection="1">
      <alignment vertical="center"/>
    </xf>
    <xf numFmtId="0" fontId="16" fillId="0" borderId="21" xfId="0" applyFont="1" applyFill="1" applyBorder="1" applyAlignment="1" applyProtection="1">
      <alignment vertical="center"/>
    </xf>
    <xf numFmtId="1" fontId="16" fillId="0" borderId="0" xfId="0" applyNumberFormat="1" applyFont="1" applyFill="1" applyBorder="1" applyAlignment="1" applyProtection="1">
      <alignment horizontal="right" vertical="center"/>
    </xf>
    <xf numFmtId="49" fontId="16" fillId="0" borderId="0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0" fillId="0" borderId="22" xfId="0" applyFill="1" applyBorder="1" applyAlignment="1" applyProtection="1">
      <alignment vertical="center"/>
    </xf>
    <xf numFmtId="0" fontId="0" fillId="0" borderId="4" xfId="0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top"/>
    </xf>
    <xf numFmtId="0" fontId="6" fillId="0" borderId="17" xfId="0" applyFont="1" applyBorder="1" applyAlignment="1" applyProtection="1">
      <alignment vertical="top"/>
    </xf>
    <xf numFmtId="0" fontId="6" fillId="0" borderId="10" xfId="0" applyFont="1" applyBorder="1" applyAlignment="1" applyProtection="1">
      <alignment vertical="top"/>
    </xf>
    <xf numFmtId="0" fontId="3" fillId="0" borderId="21" xfId="0" applyFont="1" applyBorder="1" applyAlignment="1" applyProtection="1">
      <alignment horizontal="left" vertical="center" indent="1"/>
    </xf>
    <xf numFmtId="1" fontId="3" fillId="0" borderId="0" xfId="0" applyNumberFormat="1" applyFont="1" applyBorder="1" applyAlignment="1" applyProtection="1">
      <alignment horizontal="left" vertical="center" indent="1"/>
    </xf>
    <xf numFmtId="49" fontId="3" fillId="0" borderId="0" xfId="0" applyNumberFormat="1" applyFont="1" applyBorder="1" applyAlignment="1" applyProtection="1">
      <alignment horizontal="left" vertical="center" indent="1"/>
    </xf>
    <xf numFmtId="1" fontId="3" fillId="0" borderId="0" xfId="0" applyNumberFormat="1" applyFont="1" applyBorder="1" applyAlignment="1" applyProtection="1">
      <alignment horizontal="right" vertical="center"/>
    </xf>
    <xf numFmtId="49" fontId="7" fillId="4" borderId="4" xfId="0" applyNumberFormat="1" applyFont="1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vertical="center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 indent="1"/>
    </xf>
    <xf numFmtId="0" fontId="13" fillId="0" borderId="11" xfId="0" applyFont="1" applyBorder="1" applyAlignment="1" applyProtection="1">
      <alignment horizontal="left" vertical="center" indent="1"/>
    </xf>
    <xf numFmtId="164" fontId="7" fillId="0" borderId="1" xfId="0" applyNumberFormat="1" applyFont="1" applyFill="1" applyBorder="1" applyAlignment="1" applyProtection="1">
      <alignment vertical="center"/>
    </xf>
    <xf numFmtId="0" fontId="0" fillId="0" borderId="11" xfId="0" applyFill="1" applyBorder="1" applyAlignment="1" applyProtection="1">
      <alignment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0" fontId="0" fillId="0" borderId="19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vertical="center"/>
    </xf>
    <xf numFmtId="49" fontId="7" fillId="4" borderId="0" xfId="0" applyNumberFormat="1" applyFont="1" applyFill="1" applyBorder="1" applyAlignment="1" applyProtection="1">
      <alignment horizontal="left" vertical="center"/>
    </xf>
    <xf numFmtId="0" fontId="0" fillId="4" borderId="0" xfId="0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 indent="1"/>
    </xf>
    <xf numFmtId="0" fontId="26" fillId="0" borderId="11" xfId="0" applyFont="1" applyBorder="1" applyAlignment="1" applyProtection="1">
      <alignment horizontal="left" vertical="center" indent="2"/>
    </xf>
    <xf numFmtId="0" fontId="0" fillId="0" borderId="22" xfId="0" applyBorder="1" applyAlignment="1" applyProtection="1">
      <alignment vertical="center"/>
    </xf>
    <xf numFmtId="0" fontId="18" fillId="0" borderId="0" xfId="0" applyFont="1" applyFill="1" applyAlignment="1" applyProtection="1">
      <alignment horizontal="left" vertical="center" indent="2"/>
    </xf>
    <xf numFmtId="0" fontId="0" fillId="0" borderId="0" xfId="0" applyFill="1" applyAlignment="1" applyProtection="1">
      <alignment horizontal="center" vertical="center"/>
    </xf>
    <xf numFmtId="1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26" fillId="0" borderId="11" xfId="0" applyFont="1" applyBorder="1" applyAlignment="1" applyProtection="1">
      <alignment horizontal="left" vertical="center" wrapText="1" indent="1"/>
    </xf>
    <xf numFmtId="49" fontId="6" fillId="0" borderId="0" xfId="0" applyNumberFormat="1" applyFont="1" applyBorder="1" applyAlignment="1" applyProtection="1">
      <alignment horizontal="left" vertical="center" indent="1"/>
    </xf>
    <xf numFmtId="49" fontId="6" fillId="0" borderId="0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 indent="1"/>
    </xf>
    <xf numFmtId="2" fontId="6" fillId="0" borderId="0" xfId="0" applyNumberFormat="1" applyFont="1" applyBorder="1" applyAlignment="1" applyProtection="1">
      <alignment horizontal="right" vertical="center" indent="1"/>
    </xf>
    <xf numFmtId="0" fontId="6" fillId="0" borderId="0" xfId="0" applyFont="1" applyBorder="1" applyAlignment="1" applyProtection="1">
      <alignment vertical="center"/>
    </xf>
    <xf numFmtId="164" fontId="5" fillId="3" borderId="0" xfId="0" applyNumberFormat="1" applyFont="1" applyFill="1" applyBorder="1" applyAlignment="1" applyProtection="1">
      <alignment horizontal="right" vertical="center" indent="1"/>
    </xf>
    <xf numFmtId="0" fontId="0" fillId="0" borderId="7" xfId="0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left" vertical="center" wrapText="1" indent="1"/>
    </xf>
    <xf numFmtId="49" fontId="0" fillId="0" borderId="6" xfId="0" applyNumberFormat="1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right" vertical="center" indent="1"/>
    </xf>
    <xf numFmtId="2" fontId="0" fillId="0" borderId="6" xfId="0" applyNumberFormat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4" borderId="0" xfId="0" applyNumberFormat="1" applyFill="1" applyBorder="1" applyAlignment="1" applyProtection="1">
      <alignment horizontal="right" vertical="center" indent="1"/>
    </xf>
    <xf numFmtId="0" fontId="25" fillId="0" borderId="0" xfId="0" applyFont="1" applyBorder="1" applyAlignment="1" applyProtection="1">
      <alignment horizontal="left" vertical="center" indent="1"/>
    </xf>
    <xf numFmtId="0" fontId="0" fillId="0" borderId="9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right" vertical="center" indent="1"/>
    </xf>
    <xf numFmtId="2" fontId="0" fillId="0" borderId="9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" fontId="0" fillId="0" borderId="24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left" vertical="center" indent="1"/>
    </xf>
    <xf numFmtId="164" fontId="5" fillId="0" borderId="0" xfId="0" applyNumberFormat="1" applyFont="1" applyFill="1" applyBorder="1" applyAlignment="1" applyProtection="1">
      <alignment horizontal="right" vertical="center" indent="1"/>
    </xf>
    <xf numFmtId="0" fontId="0" fillId="0" borderId="11" xfId="0" applyFont="1" applyFill="1" applyBorder="1" applyAlignment="1" applyProtection="1">
      <alignment horizontal="left" vertical="center" wrapText="1" indent="1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 wrapText="1"/>
    </xf>
    <xf numFmtId="164" fontId="5" fillId="4" borderId="0" xfId="0" applyNumberFormat="1" applyFont="1" applyFill="1" applyBorder="1" applyAlignment="1" applyProtection="1">
      <alignment horizontal="right" vertical="center" indent="1"/>
    </xf>
    <xf numFmtId="1" fontId="0" fillId="0" borderId="9" xfId="0" applyNumberFormat="1" applyFont="1" applyFill="1" applyBorder="1" applyAlignment="1" applyProtection="1">
      <alignment horizontal="right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center" vertical="center"/>
    </xf>
    <xf numFmtId="49" fontId="0" fillId="0" borderId="9" xfId="0" applyNumberFormat="1" applyFill="1" applyBorder="1" applyAlignment="1" applyProtection="1">
      <alignment horizontal="left" vertical="center" indent="1"/>
    </xf>
    <xf numFmtId="0" fontId="12" fillId="0" borderId="11" xfId="0" applyFont="1" applyFill="1" applyBorder="1" applyAlignment="1" applyProtection="1">
      <alignment horizontal="left" vertical="center" wrapText="1" indent="1"/>
    </xf>
    <xf numFmtId="2" fontId="0" fillId="0" borderId="0" xfId="0" applyNumberFormat="1" applyFill="1" applyBorder="1" applyAlignment="1" applyProtection="1">
      <alignment vertical="center"/>
    </xf>
    <xf numFmtId="49" fontId="0" fillId="3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 indent="1"/>
    </xf>
    <xf numFmtId="2" fontId="0" fillId="0" borderId="0" xfId="0" applyNumberFormat="1" applyFont="1" applyBorder="1" applyAlignment="1" applyProtection="1">
      <alignment horizontal="right" vertical="center" indent="1"/>
    </xf>
    <xf numFmtId="49" fontId="0" fillId="0" borderId="0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center" vertical="center"/>
    </xf>
    <xf numFmtId="0" fontId="23" fillId="0" borderId="11" xfId="0" applyFont="1" applyFill="1" applyBorder="1" applyAlignment="1" applyProtection="1">
      <alignment horizontal="left" vertical="center" indent="2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6" xfId="0" applyFont="1" applyBorder="1" applyAlignment="1" applyProtection="1">
      <alignment horizontal="left" vertical="center" indent="1"/>
    </xf>
    <xf numFmtId="0" fontId="6" fillId="0" borderId="0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horizontal="left" vertical="center" wrapText="1" indent="1"/>
    </xf>
    <xf numFmtId="0" fontId="0" fillId="0" borderId="23" xfId="0" applyFont="1" applyBorder="1" applyAlignment="1" applyProtection="1">
      <alignment horizontal="left" vertical="center" wrapText="1" indent="1"/>
    </xf>
    <xf numFmtId="164" fontId="4" fillId="0" borderId="0" xfId="0" applyNumberFormat="1" applyFont="1" applyBorder="1" applyAlignment="1" applyProtection="1">
      <alignment horizontal="right" vertical="center" indent="1"/>
    </xf>
    <xf numFmtId="0" fontId="9" fillId="0" borderId="0" xfId="0" applyFont="1" applyFill="1" applyBorder="1" applyAlignment="1" applyProtection="1">
      <alignment horizontal="left" vertical="center" indent="1"/>
    </xf>
    <xf numFmtId="1" fontId="0" fillId="4" borderId="0" xfId="0" applyNumberFormat="1" applyFont="1" applyFill="1" applyBorder="1" applyAlignment="1" applyProtection="1">
      <alignment horizontal="right" vertical="center"/>
    </xf>
    <xf numFmtId="49" fontId="0" fillId="4" borderId="0" xfId="0" applyNumberFormat="1" applyFill="1" applyBorder="1" applyAlignment="1" applyProtection="1">
      <alignment horizontal="center" vertical="center"/>
    </xf>
    <xf numFmtId="2" fontId="0" fillId="4" borderId="0" xfId="0" applyNumberFormat="1" applyFill="1" applyBorder="1" applyAlignment="1" applyProtection="1">
      <alignment vertical="center"/>
    </xf>
    <xf numFmtId="1" fontId="0" fillId="4" borderId="4" xfId="0" applyNumberFormat="1" applyFont="1" applyFill="1" applyBorder="1" applyAlignment="1" applyProtection="1">
      <alignment horizontal="right" vertical="center"/>
    </xf>
    <xf numFmtId="49" fontId="3" fillId="4" borderId="4" xfId="0" applyNumberFormat="1" applyFont="1" applyFill="1" applyBorder="1" applyAlignment="1" applyProtection="1">
      <alignment horizontal="center" vertical="center"/>
    </xf>
    <xf numFmtId="49" fontId="0" fillId="4" borderId="4" xfId="0" applyNumberFormat="1" applyFill="1" applyBorder="1" applyAlignment="1" applyProtection="1">
      <alignment horizontal="center" vertical="center"/>
    </xf>
    <xf numFmtId="49" fontId="0" fillId="4" borderId="4" xfId="0" applyNumberFormat="1" applyFill="1" applyBorder="1" applyAlignment="1" applyProtection="1">
      <alignment horizontal="left" vertical="center" indent="1"/>
    </xf>
    <xf numFmtId="0" fontId="2" fillId="4" borderId="4" xfId="0" applyFont="1" applyFill="1" applyBorder="1" applyAlignment="1" applyProtection="1">
      <alignment horizontal="left" vertical="center" indent="1"/>
    </xf>
    <xf numFmtId="2" fontId="0" fillId="4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49" fontId="7" fillId="6" borderId="2" xfId="0" applyNumberFormat="1" applyFont="1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horizontal="center" vertical="center"/>
    </xf>
    <xf numFmtId="0" fontId="0" fillId="6" borderId="3" xfId="0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 indent="1"/>
    </xf>
    <xf numFmtId="0" fontId="3" fillId="0" borderId="0" xfId="0" applyFont="1" applyFill="1" applyBorder="1" applyAlignment="1" applyProtection="1">
      <alignment horizontal="left" vertical="center" indent="1"/>
    </xf>
    <xf numFmtId="49" fontId="2" fillId="0" borderId="20" xfId="0" applyNumberFormat="1" applyFont="1" applyFill="1" applyBorder="1" applyAlignment="1" applyProtection="1">
      <alignment horizontal="left" vertical="center" indent="1"/>
    </xf>
    <xf numFmtId="0" fontId="3" fillId="0" borderId="9" xfId="0" applyFont="1" applyFill="1" applyBorder="1" applyAlignment="1" applyProtection="1">
      <alignment horizontal="left" vertical="center" indent="1"/>
    </xf>
    <xf numFmtId="0" fontId="21" fillId="0" borderId="9" xfId="0" applyFont="1" applyBorder="1" applyAlignment="1" applyProtection="1">
      <alignment horizontal="left" vertical="center"/>
    </xf>
    <xf numFmtId="0" fontId="22" fillId="0" borderId="9" xfId="0" applyFont="1" applyBorder="1" applyAlignment="1" applyProtection="1">
      <alignment vertical="center"/>
    </xf>
    <xf numFmtId="0" fontId="21" fillId="0" borderId="9" xfId="0" applyFont="1" applyBorder="1" applyAlignment="1" applyProtection="1">
      <alignment horizontal="left" vertical="center" indent="2"/>
    </xf>
    <xf numFmtId="0" fontId="22" fillId="0" borderId="9" xfId="0" applyFont="1" applyBorder="1" applyAlignment="1" applyProtection="1">
      <alignment horizontal="left" vertical="center" indent="2"/>
    </xf>
    <xf numFmtId="49" fontId="3" fillId="0" borderId="9" xfId="0" applyNumberFormat="1" applyFont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horizontal="left" vertical="center" indent="1"/>
    </xf>
    <xf numFmtId="49" fontId="3" fillId="0" borderId="0" xfId="0" applyNumberFormat="1" applyFont="1" applyBorder="1" applyAlignment="1" applyProtection="1">
      <alignment horizontal="center" vertical="center"/>
    </xf>
    <xf numFmtId="49" fontId="20" fillId="0" borderId="0" xfId="1" applyNumberFormat="1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left" vertical="top"/>
    </xf>
    <xf numFmtId="0" fontId="6" fillId="0" borderId="17" xfId="0" applyFont="1" applyBorder="1" applyAlignment="1" applyProtection="1">
      <alignment horizontal="left" vertical="top"/>
    </xf>
    <xf numFmtId="0" fontId="6" fillId="0" borderId="10" xfId="0" applyFont="1" applyBorder="1" applyAlignment="1" applyProtection="1">
      <alignment horizontal="left" vertical="top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21" fillId="3" borderId="2" xfId="0" applyNumberFormat="1" applyFont="1" applyFill="1" applyBorder="1" applyAlignment="1" applyProtection="1">
      <alignment horizontal="left" vertical="center"/>
    </xf>
    <xf numFmtId="0" fontId="22" fillId="3" borderId="8" xfId="0" applyFont="1" applyFill="1" applyBorder="1" applyAlignment="1" applyProtection="1">
      <alignment vertical="center"/>
    </xf>
    <xf numFmtId="0" fontId="22" fillId="3" borderId="3" xfId="0" applyFont="1" applyFill="1" applyBorder="1" applyAlignment="1" applyProtection="1">
      <alignment vertical="center"/>
    </xf>
    <xf numFmtId="49" fontId="8" fillId="0" borderId="21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vertical="center"/>
    </xf>
    <xf numFmtId="0" fontId="21" fillId="0" borderId="21" xfId="0" applyFont="1" applyBorder="1" applyAlignment="1" applyProtection="1">
      <alignment horizontal="left" vertical="center" indent="1"/>
    </xf>
    <xf numFmtId="0" fontId="21" fillId="0" borderId="0" xfId="0" applyFont="1" applyBorder="1" applyAlignment="1" applyProtection="1">
      <alignment horizontal="left" vertical="center" indent="1"/>
    </xf>
    <xf numFmtId="164" fontId="21" fillId="0" borderId="12" xfId="0" applyNumberFormat="1" applyFont="1" applyBorder="1" applyAlignment="1" applyProtection="1">
      <alignment horizontal="center" vertical="center"/>
    </xf>
    <xf numFmtId="164" fontId="21" fillId="0" borderId="13" xfId="0" applyNumberFormat="1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left" vertical="center" indent="1"/>
    </xf>
    <xf numFmtId="0" fontId="7" fillId="0" borderId="0" xfId="0" applyFont="1" applyBorder="1" applyAlignment="1" applyProtection="1">
      <alignment horizontal="left" vertical="center" indent="1"/>
    </xf>
    <xf numFmtId="164" fontId="7" fillId="0" borderId="6" xfId="0" applyNumberFormat="1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left" vertical="center" indent="1"/>
    </xf>
    <xf numFmtId="0" fontId="15" fillId="0" borderId="21" xfId="0" applyFont="1" applyFill="1" applyBorder="1" applyAlignment="1" applyProtection="1">
      <alignment horizontal="left" vertical="center" indent="1"/>
    </xf>
    <xf numFmtId="0" fontId="15" fillId="0" borderId="0" xfId="0" applyFont="1" applyFill="1" applyBorder="1" applyAlignment="1" applyProtection="1">
      <alignment horizontal="left" vertical="center" indent="1"/>
    </xf>
    <xf numFmtId="0" fontId="15" fillId="0" borderId="14" xfId="0" applyFont="1" applyFill="1" applyBorder="1" applyAlignment="1" applyProtection="1">
      <alignment horizontal="left" vertical="center" indent="1"/>
    </xf>
    <xf numFmtId="164" fontId="15" fillId="6" borderId="12" xfId="0" applyNumberFormat="1" applyFont="1" applyFill="1" applyBorder="1" applyAlignment="1" applyProtection="1">
      <alignment horizontal="center" vertical="center"/>
    </xf>
    <xf numFmtId="164" fontId="15" fillId="6" borderId="13" xfId="0" applyNumberFormat="1" applyFont="1" applyFill="1" applyBorder="1" applyAlignment="1" applyProtection="1">
      <alignment horizontal="center" vertical="center"/>
    </xf>
    <xf numFmtId="0" fontId="15" fillId="0" borderId="21" xfId="0" applyFont="1" applyBorder="1" applyAlignment="1" applyProtection="1">
      <alignment horizontal="left" vertical="center" indent="1"/>
    </xf>
    <xf numFmtId="0" fontId="15" fillId="0" borderId="0" xfId="0" applyFont="1" applyBorder="1" applyAlignment="1" applyProtection="1">
      <alignment horizontal="left" vertical="center" indent="1"/>
    </xf>
    <xf numFmtId="0" fontId="15" fillId="0" borderId="14" xfId="0" applyFont="1" applyBorder="1" applyAlignment="1" applyProtection="1">
      <alignment horizontal="left" vertical="center" indent="1"/>
    </xf>
    <xf numFmtId="164" fontId="15" fillId="0" borderId="12" xfId="0" applyNumberFormat="1" applyFont="1" applyBorder="1" applyAlignment="1" applyProtection="1">
      <alignment horizontal="center" vertical="center"/>
    </xf>
    <xf numFmtId="164" fontId="15" fillId="0" borderId="13" xfId="0" applyNumberFormat="1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indent="1"/>
    </xf>
    <xf numFmtId="49" fontId="7" fillId="3" borderId="2" xfId="0" applyNumberFormat="1" applyFont="1" applyFill="1" applyBorder="1" applyAlignment="1" applyProtection="1">
      <alignment horizontal="left" vertical="center"/>
    </xf>
    <xf numFmtId="0" fontId="0" fillId="3" borderId="8" xfId="0" applyFill="1" applyBorder="1" applyAlignment="1" applyProtection="1">
      <alignment vertical="center"/>
    </xf>
    <xf numFmtId="0" fontId="0" fillId="3" borderId="3" xfId="0" applyFill="1" applyBorder="1" applyAlignment="1" applyProtection="1">
      <alignment vertical="center"/>
    </xf>
    <xf numFmtId="49" fontId="1" fillId="0" borderId="21" xfId="0" applyNumberFormat="1" applyFont="1" applyFill="1" applyBorder="1" applyAlignment="1" applyProtection="1">
      <alignment horizontal="left" vertical="center" indent="1"/>
    </xf>
    <xf numFmtId="0" fontId="8" fillId="0" borderId="0" xfId="0" applyFont="1" applyFill="1" applyBorder="1" applyAlignment="1" applyProtection="1">
      <alignment horizontal="left" vertical="center" indent="1"/>
    </xf>
    <xf numFmtId="0" fontId="8" fillId="0" borderId="11" xfId="0" applyFont="1" applyFill="1" applyBorder="1" applyAlignment="1" applyProtection="1">
      <alignment horizontal="left" vertical="center" indent="1"/>
    </xf>
    <xf numFmtId="49" fontId="27" fillId="0" borderId="0" xfId="0" applyNumberFormat="1" applyFont="1" applyFill="1" applyBorder="1" applyAlignment="1" applyProtection="1">
      <alignment horizontal="center" vertical="center"/>
    </xf>
    <xf numFmtId="49" fontId="7" fillId="6" borderId="2" xfId="0" applyNumberFormat="1" applyFont="1" applyFill="1" applyBorder="1" applyAlignment="1" applyProtection="1">
      <alignment horizontal="left" vertical="center"/>
    </xf>
    <xf numFmtId="0" fontId="0" fillId="6" borderId="8" xfId="0" applyFill="1" applyBorder="1" applyAlignment="1" applyProtection="1">
      <alignment vertical="center"/>
    </xf>
    <xf numFmtId="49" fontId="2" fillId="0" borderId="0" xfId="0" applyNumberFormat="1" applyFont="1" applyFill="1" applyAlignment="1" applyProtection="1">
      <alignment horizontal="left" vertical="center" indent="2"/>
    </xf>
    <xf numFmtId="0" fontId="0" fillId="0" borderId="0" xfId="0" applyFill="1" applyAlignment="1" applyProtection="1">
      <alignment horizontal="left" vertical="center" indent="2"/>
    </xf>
    <xf numFmtId="49" fontId="17" fillId="3" borderId="0" xfId="0" applyNumberFormat="1" applyFont="1" applyFill="1" applyAlignment="1" applyProtection="1">
      <alignment horizontal="left" vertical="center" indent="2"/>
    </xf>
    <xf numFmtId="0" fontId="18" fillId="0" borderId="0" xfId="0" applyFont="1" applyAlignment="1" applyProtection="1">
      <alignment horizontal="left" vertical="center" indent="2"/>
    </xf>
    <xf numFmtId="0" fontId="0" fillId="2" borderId="2" xfId="0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vertical="center" textRotation="90"/>
    </xf>
    <xf numFmtId="0" fontId="4" fillId="0" borderId="17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left" vertical="center" indent="1"/>
    </xf>
    <xf numFmtId="0" fontId="0" fillId="5" borderId="8" xfId="0" applyFill="1" applyBorder="1" applyAlignment="1" applyProtection="1">
      <alignment horizontal="left" vertical="center" indent="1"/>
    </xf>
    <xf numFmtId="49" fontId="0" fillId="0" borderId="2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 indent="2"/>
    </xf>
    <xf numFmtId="49" fontId="7" fillId="0" borderId="11" xfId="0" applyNumberFormat="1" applyFont="1" applyFill="1" applyBorder="1" applyAlignment="1" applyProtection="1">
      <alignment horizontal="left" vertical="center" indent="2"/>
    </xf>
    <xf numFmtId="0" fontId="1" fillId="0" borderId="16" xfId="0" applyFont="1" applyBorder="1" applyAlignment="1" applyProtection="1">
      <alignment vertical="center" textRotation="90"/>
      <protection hidden="1"/>
    </xf>
    <xf numFmtId="0" fontId="4" fillId="0" borderId="17" xfId="0" applyFont="1" applyBorder="1" applyAlignment="1" applyProtection="1">
      <alignment vertical="center"/>
      <protection hidden="1"/>
    </xf>
    <xf numFmtId="0" fontId="4" fillId="0" borderId="10" xfId="0" applyFont="1" applyBorder="1" applyAlignment="1" applyProtection="1">
      <alignment vertical="center"/>
      <protection hidden="1"/>
    </xf>
    <xf numFmtId="0" fontId="2" fillId="5" borderId="8" xfId="0" applyFont="1" applyFill="1" applyBorder="1" applyAlignment="1" applyProtection="1">
      <alignment horizontal="left" vertical="center" indent="1"/>
      <protection hidden="1"/>
    </xf>
    <xf numFmtId="0" fontId="0" fillId="5" borderId="8" xfId="0" applyFill="1" applyBorder="1" applyAlignment="1" applyProtection="1">
      <alignment horizontal="left" vertical="center" indent="1"/>
      <protection hidden="1"/>
    </xf>
    <xf numFmtId="0" fontId="0" fillId="0" borderId="17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11" fillId="0" borderId="16" xfId="0" applyFont="1" applyBorder="1" applyAlignment="1" applyProtection="1">
      <alignment vertical="center" textRotation="90"/>
    </xf>
    <xf numFmtId="0" fontId="10" fillId="0" borderId="17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11" fillId="4" borderId="16" xfId="0" applyFont="1" applyFill="1" applyBorder="1" applyAlignment="1" applyProtection="1">
      <alignment vertical="center" textRotation="90"/>
    </xf>
    <xf numFmtId="0" fontId="10" fillId="4" borderId="17" xfId="0" applyFont="1" applyFill="1" applyBorder="1" applyAlignment="1" applyProtection="1">
      <alignment vertical="center"/>
    </xf>
    <xf numFmtId="0" fontId="10" fillId="4" borderId="10" xfId="0" applyFont="1" applyFill="1" applyBorder="1" applyAlignment="1" applyProtection="1">
      <alignment vertical="center"/>
    </xf>
    <xf numFmtId="0" fontId="11" fillId="0" borderId="16" xfId="0" applyFont="1" applyBorder="1" applyAlignment="1" applyProtection="1">
      <alignment horizontal="center" vertical="center" textRotation="90"/>
    </xf>
    <xf numFmtId="0" fontId="11" fillId="0" borderId="17" xfId="0" applyFont="1" applyBorder="1" applyAlignment="1" applyProtection="1">
      <alignment horizontal="center" vertical="center" textRotation="90"/>
    </xf>
    <xf numFmtId="0" fontId="11" fillId="0" borderId="10" xfId="0" applyFont="1" applyBorder="1" applyAlignment="1" applyProtection="1">
      <alignment horizontal="center" vertical="center" textRotation="90"/>
    </xf>
    <xf numFmtId="0" fontId="11" fillId="0" borderId="16" xfId="0" applyFont="1" applyBorder="1" applyAlignment="1" applyProtection="1">
      <alignment vertical="center" textRotation="90"/>
      <protection hidden="1"/>
    </xf>
    <xf numFmtId="0" fontId="10" fillId="0" borderId="17" xfId="0" applyFont="1" applyBorder="1" applyAlignment="1" applyProtection="1">
      <alignment vertical="center"/>
      <protection hidden="1"/>
    </xf>
    <xf numFmtId="0" fontId="10" fillId="0" borderId="10" xfId="0" applyFont="1" applyBorder="1" applyAlignment="1" applyProtection="1">
      <alignment vertical="center"/>
      <protection hidden="1"/>
    </xf>
    <xf numFmtId="0" fontId="11" fillId="4" borderId="16" xfId="0" applyFont="1" applyFill="1" applyBorder="1" applyAlignment="1" applyProtection="1">
      <alignment vertical="center" textRotation="90"/>
      <protection hidden="1"/>
    </xf>
    <xf numFmtId="0" fontId="10" fillId="4" borderId="17" xfId="0" applyFont="1" applyFill="1" applyBorder="1" applyAlignment="1" applyProtection="1">
      <alignment vertical="center"/>
      <protection hidden="1"/>
    </xf>
    <xf numFmtId="0" fontId="10" fillId="4" borderId="10" xfId="0" applyFont="1" applyFill="1" applyBorder="1" applyAlignment="1" applyProtection="1">
      <alignment vertical="center"/>
      <protection hidden="1"/>
    </xf>
    <xf numFmtId="0" fontId="11" fillId="0" borderId="16" xfId="0" applyFont="1" applyFill="1" applyBorder="1" applyAlignment="1" applyProtection="1">
      <alignment vertical="center" textRotation="90"/>
    </xf>
    <xf numFmtId="0" fontId="10" fillId="0" borderId="17" xfId="0" applyFont="1" applyFill="1" applyBorder="1" applyAlignment="1" applyProtection="1">
      <alignment vertical="center"/>
    </xf>
    <xf numFmtId="0" fontId="10" fillId="0" borderId="10" xfId="0" applyFont="1" applyFill="1" applyBorder="1" applyAlignment="1" applyProtection="1">
      <alignment vertical="center"/>
    </xf>
    <xf numFmtId="0" fontId="11" fillId="0" borderId="17" xfId="0" applyFont="1" applyBorder="1" applyAlignment="1" applyProtection="1">
      <alignment vertical="center" textRotation="9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1782535</xdr:colOff>
      <xdr:row>21</xdr:row>
      <xdr:rowOff>0</xdr:rowOff>
    </xdr:from>
    <xdr:to>
      <xdr:col>13</xdr:col>
      <xdr:colOff>5278210</xdr:colOff>
      <xdr:row>29</xdr:row>
      <xdr:rowOff>301844</xdr:rowOff>
    </xdr:to>
    <xdr:pic>
      <xdr:nvPicPr>
        <xdr:cNvPr id="2" name="Picture 8" descr="podp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5985" y="5534025"/>
          <a:ext cx="3495675" cy="2193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925285</xdr:colOff>
      <xdr:row>15</xdr:row>
      <xdr:rowOff>149678</xdr:rowOff>
    </xdr:from>
    <xdr:to>
      <xdr:col>13</xdr:col>
      <xdr:colOff>4420960</xdr:colOff>
      <xdr:row>24</xdr:row>
      <xdr:rowOff>145595</xdr:rowOff>
    </xdr:to>
    <xdr:pic>
      <xdr:nvPicPr>
        <xdr:cNvPr id="3" name="Picture 8" descr="podp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98735" y="4235903"/>
          <a:ext cx="3495675" cy="21771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1782535</xdr:colOff>
      <xdr:row>21</xdr:row>
      <xdr:rowOff>0</xdr:rowOff>
    </xdr:from>
    <xdr:to>
      <xdr:col>13</xdr:col>
      <xdr:colOff>5278210</xdr:colOff>
      <xdr:row>29</xdr:row>
      <xdr:rowOff>254701</xdr:rowOff>
    </xdr:to>
    <xdr:pic>
      <xdr:nvPicPr>
        <xdr:cNvPr id="2" name="Picture 8" descr="podp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47821" y="5361214"/>
          <a:ext cx="3495675" cy="220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925285</xdr:colOff>
      <xdr:row>15</xdr:row>
      <xdr:rowOff>149678</xdr:rowOff>
    </xdr:from>
    <xdr:to>
      <xdr:col>13</xdr:col>
      <xdr:colOff>4420960</xdr:colOff>
      <xdr:row>24</xdr:row>
      <xdr:rowOff>145595</xdr:rowOff>
    </xdr:to>
    <xdr:pic>
      <xdr:nvPicPr>
        <xdr:cNvPr id="3" name="Picture 8" descr="podpi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90571" y="4041321"/>
          <a:ext cx="3495675" cy="2200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61"/>
  <sheetViews>
    <sheetView tabSelected="1" topLeftCell="A7" zoomScale="60" zoomScaleNormal="60" zoomScalePageLayoutView="46" workbookViewId="0">
      <selection activeCell="F14" sqref="F14"/>
    </sheetView>
  </sheetViews>
  <sheetFormatPr defaultColWidth="9.1796875" defaultRowHeight="14.5" x14ac:dyDescent="0.35"/>
  <cols>
    <col min="1" max="1" width="5" style="14" customWidth="1"/>
    <col min="2" max="2" width="5.7265625" style="16" customWidth="1"/>
    <col min="3" max="3" width="5.81640625" style="15" customWidth="1"/>
    <col min="4" max="4" width="7" style="15" customWidth="1"/>
    <col min="5" max="5" width="3.7265625" style="15" customWidth="1"/>
    <col min="6" max="6" width="53.54296875" style="15" customWidth="1"/>
    <col min="7" max="7" width="20.26953125" style="15" customWidth="1"/>
    <col min="8" max="8" width="55.7265625" style="14" customWidth="1"/>
    <col min="9" max="11" width="13.7265625" style="14" customWidth="1"/>
    <col min="12" max="13" width="23.7265625" style="14" customWidth="1"/>
    <col min="14" max="14" width="90.7265625" style="14" customWidth="1"/>
    <col min="15" max="15" width="50.453125" style="14" customWidth="1"/>
    <col min="16" max="16384" width="9.1796875" style="14"/>
  </cols>
  <sheetData>
    <row r="1" spans="1:14" ht="26.5" thickBot="1" x14ac:dyDescent="0.4">
      <c r="A1" s="465" t="s">
        <v>307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7"/>
    </row>
    <row r="2" spans="1:14" x14ac:dyDescent="0.35">
      <c r="A2" s="255"/>
      <c r="B2" s="251"/>
      <c r="C2" s="253"/>
      <c r="D2" s="253"/>
      <c r="E2" s="253"/>
      <c r="F2" s="163"/>
      <c r="G2" s="163"/>
      <c r="H2" s="161"/>
      <c r="I2" s="161"/>
      <c r="J2" s="161"/>
      <c r="K2" s="161"/>
      <c r="L2" s="161"/>
      <c r="M2" s="161"/>
      <c r="N2" s="161"/>
    </row>
    <row r="3" spans="1:14" ht="19" thickBot="1" x14ac:dyDescent="0.4">
      <c r="A3" s="468" t="s">
        <v>71</v>
      </c>
      <c r="B3" s="469"/>
      <c r="C3" s="469"/>
      <c r="D3" s="469"/>
      <c r="E3" s="253"/>
      <c r="F3" s="163"/>
      <c r="G3" s="163"/>
      <c r="H3" s="161"/>
      <c r="I3" s="161"/>
      <c r="J3" s="161"/>
      <c r="K3" s="161"/>
      <c r="L3" s="161"/>
      <c r="M3" s="161"/>
      <c r="N3" s="161"/>
    </row>
    <row r="4" spans="1:14" ht="36" customHeight="1" x14ac:dyDescent="0.35">
      <c r="A4" s="470" t="s">
        <v>199</v>
      </c>
      <c r="B4" s="471"/>
      <c r="C4" s="471"/>
      <c r="D4" s="471"/>
      <c r="E4" s="306"/>
      <c r="F4" s="472" t="s">
        <v>134</v>
      </c>
      <c r="G4" s="473"/>
      <c r="H4" s="473"/>
      <c r="I4" s="474" t="s">
        <v>82</v>
      </c>
      <c r="J4" s="475"/>
      <c r="K4" s="476"/>
      <c r="L4" s="476"/>
      <c r="M4" s="307"/>
      <c r="N4" s="308"/>
    </row>
    <row r="5" spans="1:14" ht="18.5" x14ac:dyDescent="0.35">
      <c r="A5" s="309"/>
      <c r="B5" s="310"/>
      <c r="C5" s="311"/>
      <c r="D5" s="311"/>
      <c r="E5" s="138"/>
      <c r="F5" s="198"/>
      <c r="G5" s="198"/>
      <c r="H5" s="312"/>
      <c r="I5" s="312"/>
      <c r="J5" s="312"/>
      <c r="K5" s="312"/>
      <c r="L5" s="312"/>
      <c r="M5" s="312"/>
      <c r="N5" s="313"/>
    </row>
    <row r="6" spans="1:14" ht="18.5" x14ac:dyDescent="0.35">
      <c r="A6" s="477" t="s">
        <v>66</v>
      </c>
      <c r="B6" s="469"/>
      <c r="C6" s="469"/>
      <c r="D6" s="469"/>
      <c r="E6" s="138"/>
      <c r="F6" s="314" t="s">
        <v>83</v>
      </c>
      <c r="G6" s="198" t="s">
        <v>73</v>
      </c>
      <c r="H6" s="315" t="s">
        <v>197</v>
      </c>
      <c r="I6" s="478"/>
      <c r="J6" s="478"/>
      <c r="K6" s="479"/>
      <c r="L6" s="478"/>
      <c r="M6" s="312"/>
      <c r="N6" s="313"/>
    </row>
    <row r="7" spans="1:14" ht="18.5" x14ac:dyDescent="0.35">
      <c r="A7" s="316"/>
      <c r="B7" s="317"/>
      <c r="C7" s="317"/>
      <c r="D7" s="317"/>
      <c r="E7" s="138"/>
      <c r="F7" s="318"/>
      <c r="G7" s="319"/>
      <c r="H7" s="320"/>
      <c r="I7" s="319"/>
      <c r="J7" s="319"/>
      <c r="K7" s="321"/>
      <c r="L7" s="319"/>
      <c r="M7" s="322"/>
      <c r="N7" s="323"/>
    </row>
    <row r="8" spans="1:14" ht="19" thickBot="1" x14ac:dyDescent="0.4">
      <c r="A8" s="309"/>
      <c r="B8" s="310"/>
      <c r="C8" s="311"/>
      <c r="D8" s="311"/>
      <c r="E8" s="138"/>
      <c r="F8" s="324"/>
      <c r="G8" s="198"/>
      <c r="H8" s="315"/>
      <c r="I8" s="312"/>
      <c r="J8" s="312"/>
      <c r="K8" s="312"/>
      <c r="L8" s="312"/>
      <c r="M8" s="312"/>
      <c r="N8" s="313"/>
    </row>
    <row r="9" spans="1:14" ht="18.5" x14ac:dyDescent="0.35">
      <c r="A9" s="477" t="s">
        <v>196</v>
      </c>
      <c r="B9" s="469"/>
      <c r="C9" s="469"/>
      <c r="D9" s="469"/>
      <c r="E9" s="138"/>
      <c r="F9" s="314" t="s">
        <v>195</v>
      </c>
      <c r="G9" s="198" t="s">
        <v>73</v>
      </c>
      <c r="H9" s="315" t="s">
        <v>197</v>
      </c>
      <c r="I9" s="478"/>
      <c r="J9" s="478"/>
      <c r="K9" s="479"/>
      <c r="L9" s="478"/>
      <c r="M9" s="161"/>
      <c r="N9" s="480" t="s">
        <v>74</v>
      </c>
    </row>
    <row r="10" spans="1:14" ht="18.5" x14ac:dyDescent="0.35">
      <c r="A10" s="316"/>
      <c r="B10" s="317"/>
      <c r="C10" s="317"/>
      <c r="D10" s="317"/>
      <c r="E10" s="138"/>
      <c r="F10" s="325" t="s">
        <v>69</v>
      </c>
      <c r="G10" s="198"/>
      <c r="H10" s="315"/>
      <c r="I10" s="198"/>
      <c r="J10" s="198"/>
      <c r="K10" s="198"/>
      <c r="L10" s="198"/>
      <c r="M10" s="312"/>
      <c r="N10" s="481"/>
    </row>
    <row r="11" spans="1:14" ht="18.5" x14ac:dyDescent="0.35">
      <c r="A11" s="316"/>
      <c r="B11" s="317"/>
      <c r="C11" s="317"/>
      <c r="D11" s="317"/>
      <c r="E11" s="138"/>
      <c r="F11" s="312" t="s">
        <v>310</v>
      </c>
      <c r="G11" s="198"/>
      <c r="H11" s="315"/>
      <c r="I11" s="198"/>
      <c r="J11" s="198"/>
      <c r="K11" s="198"/>
      <c r="L11" s="198"/>
      <c r="M11" s="312"/>
      <c r="N11" s="481"/>
    </row>
    <row r="12" spans="1:14" ht="19" thickBot="1" x14ac:dyDescent="0.4">
      <c r="A12" s="316"/>
      <c r="B12" s="317"/>
      <c r="C12" s="317"/>
      <c r="D12" s="317"/>
      <c r="E12" s="138"/>
      <c r="F12" s="326"/>
      <c r="G12" s="319"/>
      <c r="H12" s="320"/>
      <c r="I12" s="322"/>
      <c r="J12" s="322"/>
      <c r="K12" s="322"/>
      <c r="L12" s="322"/>
      <c r="M12" s="322"/>
      <c r="N12" s="482"/>
    </row>
    <row r="13" spans="1:14" ht="19" thickBot="1" x14ac:dyDescent="0.4">
      <c r="A13" s="309"/>
      <c r="B13" s="310"/>
      <c r="C13" s="311"/>
      <c r="D13" s="311"/>
      <c r="E13" s="138"/>
      <c r="F13" s="327"/>
      <c r="G13" s="138"/>
      <c r="H13" s="139"/>
      <c r="I13" s="141"/>
      <c r="J13" s="141"/>
      <c r="K13" s="141"/>
      <c r="L13" s="141"/>
      <c r="M13" s="140"/>
      <c r="N13" s="137"/>
    </row>
    <row r="14" spans="1:14" ht="18.5" x14ac:dyDescent="0.35">
      <c r="A14" s="477" t="s">
        <v>339</v>
      </c>
      <c r="B14" s="469"/>
      <c r="C14" s="469"/>
      <c r="D14" s="469"/>
      <c r="E14" s="138"/>
      <c r="F14" s="96"/>
      <c r="G14" s="138" t="s">
        <v>73</v>
      </c>
      <c r="H14" s="95"/>
      <c r="I14" s="483"/>
      <c r="J14" s="483"/>
      <c r="K14" s="483"/>
      <c r="L14" s="483"/>
      <c r="M14" s="141"/>
      <c r="N14" s="156" t="s">
        <v>74</v>
      </c>
    </row>
    <row r="15" spans="1:14" ht="18.5" x14ac:dyDescent="0.35">
      <c r="A15" s="316"/>
      <c r="B15" s="317"/>
      <c r="C15" s="317"/>
      <c r="D15" s="317"/>
      <c r="E15" s="138"/>
      <c r="F15" s="136"/>
      <c r="G15" s="138"/>
      <c r="H15" s="139"/>
      <c r="I15" s="138"/>
      <c r="J15" s="138"/>
      <c r="K15" s="138"/>
      <c r="L15" s="138"/>
      <c r="M15" s="141"/>
      <c r="N15" s="158"/>
    </row>
    <row r="16" spans="1:14" ht="18.5" x14ac:dyDescent="0.35">
      <c r="A16" s="316"/>
      <c r="B16" s="317"/>
      <c r="C16" s="317"/>
      <c r="D16" s="317"/>
      <c r="E16" s="138"/>
      <c r="F16" s="136" t="s">
        <v>309</v>
      </c>
      <c r="G16" s="138"/>
      <c r="H16" s="139"/>
      <c r="I16" s="138"/>
      <c r="J16" s="138"/>
      <c r="K16" s="138"/>
      <c r="L16" s="138"/>
      <c r="M16" s="141"/>
      <c r="N16" s="158"/>
    </row>
    <row r="17" spans="1:14" ht="19" thickBot="1" x14ac:dyDescent="0.4">
      <c r="A17" s="316"/>
      <c r="B17" s="317"/>
      <c r="C17" s="317"/>
      <c r="D17" s="317"/>
      <c r="E17" s="138"/>
      <c r="F17" s="142"/>
      <c r="G17" s="143"/>
      <c r="H17" s="144"/>
      <c r="I17" s="145"/>
      <c r="J17" s="145"/>
      <c r="K17" s="145"/>
      <c r="L17" s="145"/>
      <c r="M17" s="145"/>
      <c r="N17" s="159"/>
    </row>
    <row r="18" spans="1:14" ht="19" thickBot="1" x14ac:dyDescent="0.4">
      <c r="A18" s="309"/>
      <c r="B18" s="310"/>
      <c r="C18" s="311"/>
      <c r="D18" s="311"/>
      <c r="E18" s="138"/>
      <c r="F18" s="324"/>
      <c r="G18" s="198"/>
      <c r="H18" s="315"/>
      <c r="I18" s="312"/>
      <c r="J18" s="312"/>
      <c r="K18" s="312"/>
      <c r="L18" s="312"/>
      <c r="M18" s="312"/>
      <c r="N18" s="328"/>
    </row>
    <row r="19" spans="1:14" ht="18.5" x14ac:dyDescent="0.35">
      <c r="A19" s="477" t="s">
        <v>67</v>
      </c>
      <c r="B19" s="469"/>
      <c r="C19" s="469"/>
      <c r="D19" s="469"/>
      <c r="E19" s="138"/>
      <c r="F19" s="314" t="s">
        <v>70</v>
      </c>
      <c r="G19" s="198" t="s">
        <v>73</v>
      </c>
      <c r="H19" s="315" t="s">
        <v>198</v>
      </c>
      <c r="I19" s="478"/>
      <c r="J19" s="478"/>
      <c r="K19" s="479"/>
      <c r="L19" s="478"/>
      <c r="M19" s="198"/>
      <c r="N19" s="480" t="s">
        <v>345</v>
      </c>
    </row>
    <row r="20" spans="1:14" ht="18.5" x14ac:dyDescent="0.35">
      <c r="A20" s="309"/>
      <c r="B20" s="310"/>
      <c r="C20" s="311"/>
      <c r="D20" s="311"/>
      <c r="E20" s="138"/>
      <c r="F20" s="325" t="s">
        <v>72</v>
      </c>
      <c r="G20" s="198"/>
      <c r="H20" s="315"/>
      <c r="I20" s="312"/>
      <c r="J20" s="312"/>
      <c r="K20" s="312"/>
      <c r="L20" s="312"/>
      <c r="M20" s="312"/>
      <c r="N20" s="481"/>
    </row>
    <row r="21" spans="1:14" ht="18.5" x14ac:dyDescent="0.35">
      <c r="A21" s="309"/>
      <c r="B21" s="310"/>
      <c r="C21" s="311"/>
      <c r="D21" s="311"/>
      <c r="E21" s="138"/>
      <c r="F21" s="329" t="s">
        <v>308</v>
      </c>
      <c r="G21" s="198"/>
      <c r="H21" s="315"/>
      <c r="I21" s="312"/>
      <c r="J21" s="312"/>
      <c r="K21" s="312"/>
      <c r="L21" s="312"/>
      <c r="M21" s="312"/>
      <c r="N21" s="481"/>
    </row>
    <row r="22" spans="1:14" ht="19" thickBot="1" x14ac:dyDescent="0.4">
      <c r="A22" s="309"/>
      <c r="B22" s="310"/>
      <c r="C22" s="311"/>
      <c r="D22" s="311"/>
      <c r="E22" s="138"/>
      <c r="F22" s="326"/>
      <c r="G22" s="319"/>
      <c r="H22" s="320"/>
      <c r="I22" s="322"/>
      <c r="J22" s="322"/>
      <c r="K22" s="322"/>
      <c r="L22" s="322"/>
      <c r="M22" s="322"/>
      <c r="N22" s="482"/>
    </row>
    <row r="23" spans="1:14" ht="19" thickBot="1" x14ac:dyDescent="0.4">
      <c r="A23" s="309"/>
      <c r="B23" s="310"/>
      <c r="C23" s="311"/>
      <c r="D23" s="311"/>
      <c r="E23" s="138"/>
      <c r="F23" s="330"/>
      <c r="G23" s="198"/>
      <c r="H23" s="315"/>
      <c r="I23" s="312"/>
      <c r="J23" s="312"/>
      <c r="K23" s="312"/>
      <c r="L23" s="312"/>
      <c r="M23" s="312"/>
      <c r="N23" s="328"/>
    </row>
    <row r="24" spans="1:14" ht="18.5" x14ac:dyDescent="0.35">
      <c r="A24" s="477" t="s">
        <v>68</v>
      </c>
      <c r="B24" s="469"/>
      <c r="C24" s="469"/>
      <c r="D24" s="469"/>
      <c r="E24" s="138"/>
      <c r="F24" s="314" t="s">
        <v>70</v>
      </c>
      <c r="G24" s="198" t="s">
        <v>73</v>
      </c>
      <c r="H24" s="315" t="s">
        <v>198</v>
      </c>
      <c r="I24" s="478"/>
      <c r="J24" s="478"/>
      <c r="K24" s="479"/>
      <c r="L24" s="478"/>
      <c r="M24" s="161"/>
      <c r="N24" s="480" t="s">
        <v>345</v>
      </c>
    </row>
    <row r="25" spans="1:14" ht="18.5" x14ac:dyDescent="0.35">
      <c r="A25" s="309"/>
      <c r="B25" s="310"/>
      <c r="C25" s="311"/>
      <c r="D25" s="311"/>
      <c r="E25" s="138"/>
      <c r="F25" s="325" t="s">
        <v>72</v>
      </c>
      <c r="G25" s="198"/>
      <c r="H25" s="312"/>
      <c r="I25" s="312"/>
      <c r="J25" s="312"/>
      <c r="K25" s="312"/>
      <c r="L25" s="312"/>
      <c r="M25" s="312"/>
      <c r="N25" s="481"/>
    </row>
    <row r="26" spans="1:14" ht="18.5" x14ac:dyDescent="0.35">
      <c r="A26" s="309"/>
      <c r="B26" s="310"/>
      <c r="C26" s="311"/>
      <c r="D26" s="311"/>
      <c r="E26" s="138"/>
      <c r="F26" s="329" t="s">
        <v>308</v>
      </c>
      <c r="G26" s="198"/>
      <c r="H26" s="312"/>
      <c r="I26" s="312"/>
      <c r="J26" s="312"/>
      <c r="K26" s="312"/>
      <c r="L26" s="312"/>
      <c r="M26" s="312"/>
      <c r="N26" s="481"/>
    </row>
    <row r="27" spans="1:14" ht="19" thickBot="1" x14ac:dyDescent="0.4">
      <c r="A27" s="309"/>
      <c r="B27" s="310"/>
      <c r="C27" s="311"/>
      <c r="D27" s="311"/>
      <c r="E27" s="138"/>
      <c r="F27" s="326"/>
      <c r="G27" s="319"/>
      <c r="H27" s="320"/>
      <c r="I27" s="322"/>
      <c r="J27" s="322"/>
      <c r="K27" s="322"/>
      <c r="L27" s="322"/>
      <c r="M27" s="322"/>
      <c r="N27" s="482"/>
    </row>
    <row r="28" spans="1:14" ht="19" thickBot="1" x14ac:dyDescent="0.4">
      <c r="A28" s="331"/>
      <c r="B28" s="332"/>
      <c r="C28" s="231"/>
      <c r="D28" s="231"/>
      <c r="E28" s="231"/>
      <c r="F28" s="231"/>
      <c r="G28" s="231"/>
      <c r="H28" s="333"/>
      <c r="I28" s="333"/>
      <c r="J28" s="333"/>
      <c r="K28" s="333"/>
      <c r="L28" s="333"/>
      <c r="M28" s="333"/>
      <c r="N28" s="334"/>
    </row>
    <row r="29" spans="1:14" ht="15" thickBot="1" x14ac:dyDescent="0.4">
      <c r="A29" s="161"/>
      <c r="B29" s="162"/>
      <c r="C29" s="163"/>
      <c r="D29" s="163"/>
      <c r="E29" s="163"/>
      <c r="F29" s="163"/>
      <c r="G29" s="163"/>
      <c r="H29" s="161"/>
      <c r="I29" s="161"/>
      <c r="J29" s="161"/>
      <c r="K29" s="161"/>
      <c r="L29" s="161"/>
      <c r="M29" s="161"/>
      <c r="N29" s="161"/>
    </row>
    <row r="30" spans="1:14" ht="37.5" thickBot="1" x14ac:dyDescent="0.4">
      <c r="A30" s="484" t="s">
        <v>214</v>
      </c>
      <c r="B30" s="485"/>
      <c r="C30" s="485"/>
      <c r="D30" s="485"/>
      <c r="E30" s="485"/>
      <c r="F30" s="485"/>
      <c r="G30" s="485"/>
      <c r="H30" s="485"/>
      <c r="I30" s="485"/>
      <c r="J30" s="485"/>
      <c r="K30" s="486"/>
      <c r="L30" s="335" t="s">
        <v>7</v>
      </c>
      <c r="M30" s="335" t="s">
        <v>8</v>
      </c>
      <c r="N30" s="335" t="s">
        <v>3</v>
      </c>
    </row>
    <row r="31" spans="1:14" x14ac:dyDescent="0.35">
      <c r="A31" s="336"/>
      <c r="B31" s="197"/>
      <c r="C31" s="199"/>
      <c r="D31" s="199"/>
      <c r="E31" s="199"/>
      <c r="F31" s="199"/>
      <c r="G31" s="199"/>
      <c r="H31" s="222"/>
      <c r="I31" s="222"/>
      <c r="J31" s="222"/>
      <c r="K31" s="222"/>
      <c r="L31" s="222"/>
      <c r="M31" s="222"/>
      <c r="N31" s="337"/>
    </row>
    <row r="32" spans="1:14" ht="21" x14ac:dyDescent="0.35">
      <c r="A32" s="487" t="s">
        <v>204</v>
      </c>
      <c r="B32" s="488"/>
      <c r="C32" s="488"/>
      <c r="D32" s="488"/>
      <c r="E32" s="488"/>
      <c r="F32" s="488"/>
      <c r="G32" s="488"/>
      <c r="H32" s="488"/>
      <c r="I32" s="488"/>
      <c r="J32" s="488"/>
      <c r="K32" s="488"/>
      <c r="L32" s="338">
        <f>'00_SHRNUTÍ EXPOZIC'!L37</f>
        <v>0</v>
      </c>
      <c r="M32" s="338">
        <f>'00_SHRNUTÍ EXPOZIC'!M37</f>
        <v>0</v>
      </c>
      <c r="N32" s="337" t="s">
        <v>290</v>
      </c>
    </row>
    <row r="33" spans="1:14" ht="21" x14ac:dyDescent="0.35">
      <c r="A33" s="487" t="s">
        <v>205</v>
      </c>
      <c r="B33" s="488"/>
      <c r="C33" s="488"/>
      <c r="D33" s="488"/>
      <c r="E33" s="488"/>
      <c r="F33" s="488"/>
      <c r="G33" s="488"/>
      <c r="H33" s="488"/>
      <c r="I33" s="488"/>
      <c r="J33" s="488"/>
      <c r="K33" s="488"/>
      <c r="L33" s="338">
        <f>'00_SHRNUTÍ EXPOZIC'!L44</f>
        <v>0</v>
      </c>
      <c r="M33" s="338">
        <f>'00_SHRNUTÍ EXPOZIC'!M44</f>
        <v>0</v>
      </c>
      <c r="N33" s="337" t="s">
        <v>76</v>
      </c>
    </row>
    <row r="34" spans="1:14" ht="21" x14ac:dyDescent="0.35">
      <c r="A34" s="487" t="s">
        <v>206</v>
      </c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338">
        <f>'00_SHRNUTÍ EXPOZIC'!L52</f>
        <v>0</v>
      </c>
      <c r="M34" s="338">
        <f>'00_SHRNUTÍ EXPOZIC'!M52</f>
        <v>0</v>
      </c>
      <c r="N34" s="337" t="s">
        <v>291</v>
      </c>
    </row>
    <row r="35" spans="1:14" ht="21" x14ac:dyDescent="0.35">
      <c r="A35" s="487" t="s">
        <v>207</v>
      </c>
      <c r="B35" s="488"/>
      <c r="C35" s="488"/>
      <c r="D35" s="488"/>
      <c r="E35" s="488"/>
      <c r="F35" s="488"/>
      <c r="G35" s="488"/>
      <c r="H35" s="488"/>
      <c r="I35" s="488"/>
      <c r="J35" s="488"/>
      <c r="K35" s="488"/>
      <c r="L35" s="338">
        <f>'00_SHRNUTÍ EXPOZIC'!L60</f>
        <v>0</v>
      </c>
      <c r="M35" s="338">
        <f>'00_SHRNUTÍ EXPOZIC'!M60</f>
        <v>0</v>
      </c>
      <c r="N35" s="337"/>
    </row>
    <row r="36" spans="1:14" ht="21" x14ac:dyDescent="0.35">
      <c r="A36" s="487" t="s">
        <v>208</v>
      </c>
      <c r="B36" s="488"/>
      <c r="C36" s="488"/>
      <c r="D36" s="488"/>
      <c r="E36" s="488"/>
      <c r="F36" s="488"/>
      <c r="G36" s="488"/>
      <c r="H36" s="488"/>
      <c r="I36" s="488"/>
      <c r="J36" s="488"/>
      <c r="K36" s="488"/>
      <c r="L36" s="338">
        <f>'00_SHRNUTÍ EXPOZIC'!L67</f>
        <v>0</v>
      </c>
      <c r="M36" s="338">
        <f>'00_SHRNUTÍ EXPOZIC'!M67</f>
        <v>0</v>
      </c>
      <c r="N36" s="337"/>
    </row>
    <row r="37" spans="1:14" ht="21" x14ac:dyDescent="0.35">
      <c r="A37" s="487" t="s">
        <v>209</v>
      </c>
      <c r="B37" s="488"/>
      <c r="C37" s="488"/>
      <c r="D37" s="488"/>
      <c r="E37" s="488"/>
      <c r="F37" s="488"/>
      <c r="G37" s="488"/>
      <c r="H37" s="488"/>
      <c r="I37" s="488"/>
      <c r="J37" s="488"/>
      <c r="K37" s="488"/>
      <c r="L37" s="338">
        <f>'00_SHRNUTÍ EXPOZIC'!L74</f>
        <v>0</v>
      </c>
      <c r="M37" s="338">
        <f>'00_SHRNUTÍ EXPOZIC'!M74</f>
        <v>0</v>
      </c>
      <c r="N37" s="337"/>
    </row>
    <row r="38" spans="1:14" ht="21" x14ac:dyDescent="0.35">
      <c r="A38" s="487" t="s">
        <v>210</v>
      </c>
      <c r="B38" s="488"/>
      <c r="C38" s="488"/>
      <c r="D38" s="488"/>
      <c r="E38" s="488"/>
      <c r="F38" s="488"/>
      <c r="G38" s="488"/>
      <c r="H38" s="488"/>
      <c r="I38" s="488"/>
      <c r="J38" s="488"/>
      <c r="K38" s="488"/>
      <c r="L38" s="338">
        <f>'00_SHRNUTÍ EXPOZIC'!L81</f>
        <v>0</v>
      </c>
      <c r="M38" s="338">
        <f>'00_SHRNUTÍ EXPOZIC'!M81</f>
        <v>0</v>
      </c>
      <c r="N38" s="337"/>
    </row>
    <row r="39" spans="1:14" ht="15" thickBot="1" x14ac:dyDescent="0.4">
      <c r="A39" s="336"/>
      <c r="B39" s="197"/>
      <c r="C39" s="199"/>
      <c r="D39" s="199"/>
      <c r="E39" s="199"/>
      <c r="F39" s="199"/>
      <c r="G39" s="199"/>
      <c r="H39" s="222"/>
      <c r="I39" s="222"/>
      <c r="J39" s="222"/>
      <c r="K39" s="222"/>
      <c r="L39" s="222"/>
      <c r="M39" s="222"/>
      <c r="N39" s="337"/>
    </row>
    <row r="40" spans="1:14" s="20" customFormat="1" ht="23.5" x14ac:dyDescent="0.35">
      <c r="A40" s="489"/>
      <c r="B40" s="490"/>
      <c r="C40" s="490"/>
      <c r="D40" s="490"/>
      <c r="E40" s="490"/>
      <c r="F40" s="490"/>
      <c r="G40" s="490"/>
      <c r="H40" s="490"/>
      <c r="I40" s="490"/>
      <c r="J40" s="490"/>
      <c r="K40" s="490"/>
      <c r="L40" s="339">
        <f>SUM(L32:L39)</f>
        <v>0</v>
      </c>
      <c r="M40" s="339">
        <f>SUM(M32:M39)</f>
        <v>0</v>
      </c>
      <c r="N40" s="340"/>
    </row>
    <row r="41" spans="1:14" s="20" customFormat="1" ht="9" customHeight="1" thickBot="1" x14ac:dyDescent="0.4">
      <c r="A41" s="341"/>
      <c r="B41" s="342"/>
      <c r="C41" s="343"/>
      <c r="D41" s="343"/>
      <c r="E41" s="343"/>
      <c r="F41" s="343"/>
      <c r="G41" s="343"/>
      <c r="H41" s="344"/>
      <c r="I41" s="344"/>
      <c r="J41" s="344"/>
      <c r="K41" s="344"/>
      <c r="L41" s="344"/>
      <c r="M41" s="344"/>
      <c r="N41" s="340"/>
    </row>
    <row r="42" spans="1:14" s="20" customFormat="1" ht="30" customHeight="1" thickTop="1" thickBot="1" x14ac:dyDescent="0.4">
      <c r="A42" s="489" t="s">
        <v>216</v>
      </c>
      <c r="B42" s="490"/>
      <c r="C42" s="490"/>
      <c r="D42" s="490"/>
      <c r="E42" s="490"/>
      <c r="F42" s="490"/>
      <c r="G42" s="490"/>
      <c r="H42" s="490"/>
      <c r="I42" s="490"/>
      <c r="J42" s="490"/>
      <c r="K42" s="496"/>
      <c r="L42" s="491">
        <f>L40+M40</f>
        <v>0</v>
      </c>
      <c r="M42" s="492"/>
      <c r="N42" s="340"/>
    </row>
    <row r="43" spans="1:14" s="17" customFormat="1" ht="20.25" customHeight="1" thickTop="1" thickBot="1" x14ac:dyDescent="0.4">
      <c r="A43" s="345"/>
      <c r="B43" s="346"/>
      <c r="C43" s="346"/>
      <c r="D43" s="346"/>
      <c r="E43" s="346"/>
      <c r="F43" s="346"/>
      <c r="G43" s="346"/>
      <c r="H43" s="346"/>
      <c r="I43" s="346"/>
      <c r="J43" s="346"/>
      <c r="K43" s="346"/>
      <c r="L43" s="347"/>
      <c r="M43" s="347"/>
      <c r="N43" s="348"/>
    </row>
    <row r="44" spans="1:14" s="17" customFormat="1" ht="20.25" customHeight="1" thickBot="1" x14ac:dyDescent="0.4">
      <c r="A44" s="349"/>
      <c r="B44" s="349"/>
      <c r="C44" s="349"/>
      <c r="D44" s="349"/>
      <c r="E44" s="349"/>
      <c r="F44" s="349"/>
      <c r="G44" s="349"/>
      <c r="H44" s="349"/>
      <c r="I44" s="349"/>
      <c r="J44" s="349"/>
      <c r="K44" s="350"/>
      <c r="L44" s="351"/>
      <c r="M44" s="351"/>
      <c r="N44" s="352"/>
    </row>
    <row r="45" spans="1:14" ht="37.5" thickBot="1" x14ac:dyDescent="0.4">
      <c r="A45" s="484" t="s">
        <v>215</v>
      </c>
      <c r="B45" s="485"/>
      <c r="C45" s="485"/>
      <c r="D45" s="485"/>
      <c r="E45" s="485"/>
      <c r="F45" s="485"/>
      <c r="G45" s="485"/>
      <c r="H45" s="485"/>
      <c r="I45" s="485"/>
      <c r="J45" s="485"/>
      <c r="K45" s="486"/>
      <c r="L45" s="335" t="s">
        <v>7</v>
      </c>
      <c r="M45" s="335" t="s">
        <v>8</v>
      </c>
      <c r="N45" s="335" t="s">
        <v>3</v>
      </c>
    </row>
    <row r="46" spans="1:14" x14ac:dyDescent="0.35">
      <c r="A46" s="336"/>
      <c r="B46" s="197"/>
      <c r="C46" s="199"/>
      <c r="D46" s="199"/>
      <c r="E46" s="199"/>
      <c r="F46" s="199"/>
      <c r="G46" s="199"/>
      <c r="H46" s="222"/>
      <c r="I46" s="222"/>
      <c r="J46" s="222"/>
      <c r="K46" s="222"/>
      <c r="L46" s="222"/>
      <c r="M46" s="222"/>
      <c r="N46" s="353"/>
    </row>
    <row r="47" spans="1:14" ht="21" x14ac:dyDescent="0.35">
      <c r="A47" s="487" t="s">
        <v>75</v>
      </c>
      <c r="B47" s="488"/>
      <c r="C47" s="488"/>
      <c r="D47" s="488"/>
      <c r="E47" s="488"/>
      <c r="F47" s="488"/>
      <c r="G47" s="488"/>
      <c r="H47" s="488"/>
      <c r="I47" s="488"/>
      <c r="J47" s="488"/>
      <c r="K47" s="488"/>
      <c r="L47" s="354" t="str">
        <f>'00_SHRNUTÍ EXPOZIC'!L86</f>
        <v>-</v>
      </c>
      <c r="M47" s="338">
        <f>'00_SHRNUTÍ EXPOZIC'!M86</f>
        <v>0</v>
      </c>
      <c r="N47" s="353"/>
    </row>
    <row r="48" spans="1:14" ht="21" x14ac:dyDescent="0.35">
      <c r="A48" s="487" t="s">
        <v>77</v>
      </c>
      <c r="B48" s="488"/>
      <c r="C48" s="488"/>
      <c r="D48" s="488"/>
      <c r="E48" s="488"/>
      <c r="F48" s="488"/>
      <c r="G48" s="488"/>
      <c r="H48" s="488"/>
      <c r="I48" s="488"/>
      <c r="J48" s="488"/>
      <c r="K48" s="488"/>
      <c r="L48" s="338">
        <f>'00_SHRNUTÍ EXPOZIC'!L87</f>
        <v>0</v>
      </c>
      <c r="M48" s="338">
        <f>'00_SHRNUTÍ EXPOZIC'!M87</f>
        <v>0</v>
      </c>
      <c r="N48" s="355"/>
    </row>
    <row r="49" spans="1:14" s="23" customFormat="1" ht="21.5" thickBot="1" x14ac:dyDescent="0.4">
      <c r="A49" s="487" t="s">
        <v>318</v>
      </c>
      <c r="B49" s="488"/>
      <c r="C49" s="488"/>
      <c r="D49" s="488"/>
      <c r="E49" s="488"/>
      <c r="F49" s="488"/>
      <c r="G49" s="488"/>
      <c r="H49" s="488"/>
      <c r="I49" s="488"/>
      <c r="J49" s="488"/>
      <c r="K49" s="488"/>
      <c r="L49" s="338">
        <f>'00_SHRNUTÍ EXPOZIC'!L92</f>
        <v>0</v>
      </c>
      <c r="M49" s="338">
        <f>'00_SHRNUTÍ EXPOZIC'!M92</f>
        <v>0</v>
      </c>
      <c r="N49" s="355"/>
    </row>
    <row r="50" spans="1:14" s="20" customFormat="1" ht="23.5" x14ac:dyDescent="0.35">
      <c r="A50" s="489"/>
      <c r="B50" s="490"/>
      <c r="C50" s="490"/>
      <c r="D50" s="490"/>
      <c r="E50" s="490"/>
      <c r="F50" s="490"/>
      <c r="G50" s="490"/>
      <c r="H50" s="490"/>
      <c r="I50" s="490"/>
      <c r="J50" s="490"/>
      <c r="K50" s="490"/>
      <c r="L50" s="339">
        <f>SUM(L47:L49)</f>
        <v>0</v>
      </c>
      <c r="M50" s="339">
        <f>SUM(M47:M49)</f>
        <v>0</v>
      </c>
      <c r="N50" s="356"/>
    </row>
    <row r="51" spans="1:14" s="20" customFormat="1" ht="9" customHeight="1" thickBot="1" x14ac:dyDescent="0.4">
      <c r="A51" s="341"/>
      <c r="B51" s="342"/>
      <c r="C51" s="343"/>
      <c r="D51" s="343"/>
      <c r="E51" s="343"/>
      <c r="F51" s="343"/>
      <c r="G51" s="343"/>
      <c r="H51" s="344"/>
      <c r="I51" s="344"/>
      <c r="J51" s="344"/>
      <c r="K51" s="344"/>
      <c r="L51" s="344"/>
      <c r="M51" s="344"/>
      <c r="N51" s="356"/>
    </row>
    <row r="52" spans="1:14" s="20" customFormat="1" ht="30" customHeight="1" thickTop="1" thickBot="1" x14ac:dyDescent="0.4">
      <c r="A52" s="489" t="s">
        <v>217</v>
      </c>
      <c r="B52" s="490"/>
      <c r="C52" s="490"/>
      <c r="D52" s="490"/>
      <c r="E52" s="490"/>
      <c r="F52" s="490"/>
      <c r="G52" s="490"/>
      <c r="H52" s="490"/>
      <c r="I52" s="490"/>
      <c r="J52" s="490"/>
      <c r="K52" s="496"/>
      <c r="L52" s="491">
        <f>L50+M50</f>
        <v>0</v>
      </c>
      <c r="M52" s="492"/>
      <c r="N52" s="356"/>
    </row>
    <row r="53" spans="1:14" ht="20.25" customHeight="1" thickTop="1" thickBot="1" x14ac:dyDescent="0.4">
      <c r="A53" s="357"/>
      <c r="B53" s="358"/>
      <c r="C53" s="358"/>
      <c r="D53" s="358"/>
      <c r="E53" s="358"/>
      <c r="F53" s="358"/>
      <c r="G53" s="358"/>
      <c r="H53" s="358"/>
      <c r="I53" s="358"/>
      <c r="J53" s="358"/>
      <c r="K53" s="358"/>
      <c r="L53" s="359"/>
      <c r="M53" s="359"/>
      <c r="N53" s="360"/>
    </row>
    <row r="54" spans="1:14" ht="20.25" customHeight="1" thickBot="1" x14ac:dyDescent="0.4">
      <c r="A54" s="361"/>
      <c r="B54" s="362"/>
      <c r="C54" s="362"/>
      <c r="D54" s="362"/>
      <c r="E54" s="362"/>
      <c r="F54" s="362"/>
      <c r="G54" s="362"/>
      <c r="H54" s="362"/>
      <c r="I54" s="362"/>
      <c r="J54" s="362"/>
      <c r="K54" s="362"/>
      <c r="L54" s="338"/>
      <c r="M54" s="338"/>
      <c r="N54" s="222"/>
    </row>
    <row r="55" spans="1:14" ht="21.5" thickBot="1" x14ac:dyDescent="0.4">
      <c r="A55" s="363"/>
      <c r="B55" s="364"/>
      <c r="C55" s="364"/>
      <c r="D55" s="364"/>
      <c r="E55" s="364"/>
      <c r="F55" s="364"/>
      <c r="G55" s="364"/>
      <c r="H55" s="364"/>
      <c r="I55" s="364"/>
      <c r="J55" s="364"/>
      <c r="K55" s="364"/>
      <c r="L55" s="365"/>
      <c r="M55" s="365"/>
      <c r="N55" s="366"/>
    </row>
    <row r="56" spans="1:14" s="17" customFormat="1" ht="34.5" customHeight="1" thickTop="1" thickBot="1" x14ac:dyDescent="0.4">
      <c r="A56" s="502" t="s">
        <v>211</v>
      </c>
      <c r="B56" s="503"/>
      <c r="C56" s="503"/>
      <c r="D56" s="503"/>
      <c r="E56" s="503"/>
      <c r="F56" s="503"/>
      <c r="G56" s="503"/>
      <c r="H56" s="503"/>
      <c r="I56" s="503"/>
      <c r="J56" s="503"/>
      <c r="K56" s="504"/>
      <c r="L56" s="505">
        <f>L52+L42</f>
        <v>0</v>
      </c>
      <c r="M56" s="506"/>
      <c r="N56" s="367"/>
    </row>
    <row r="57" spans="1:14" s="17" customFormat="1" ht="11.5" customHeight="1" thickTop="1" x14ac:dyDescent="0.35">
      <c r="A57" s="368"/>
      <c r="B57" s="369"/>
      <c r="C57" s="370"/>
      <c r="D57" s="370"/>
      <c r="E57" s="370"/>
      <c r="F57" s="370"/>
      <c r="G57" s="370"/>
      <c r="H57" s="371"/>
      <c r="I57" s="371"/>
      <c r="J57" s="371"/>
      <c r="K57" s="371"/>
      <c r="L57" s="371"/>
      <c r="M57" s="371"/>
      <c r="N57" s="367"/>
    </row>
    <row r="58" spans="1:14" s="21" customFormat="1" ht="34.5" customHeight="1" x14ac:dyDescent="0.35">
      <c r="A58" s="493" t="s">
        <v>212</v>
      </c>
      <c r="B58" s="494"/>
      <c r="C58" s="494"/>
      <c r="D58" s="494"/>
      <c r="E58" s="494"/>
      <c r="F58" s="494"/>
      <c r="G58" s="494"/>
      <c r="H58" s="494"/>
      <c r="I58" s="494"/>
      <c r="J58" s="494"/>
      <c r="K58" s="494"/>
      <c r="L58" s="495">
        <f>L56*0.21</f>
        <v>0</v>
      </c>
      <c r="M58" s="495"/>
      <c r="N58" s="372"/>
    </row>
    <row r="59" spans="1:14" s="17" customFormat="1" ht="12" customHeight="1" thickBot="1" x14ac:dyDescent="0.4">
      <c r="A59" s="373"/>
      <c r="B59" s="374"/>
      <c r="C59" s="375"/>
      <c r="D59" s="375"/>
      <c r="E59" s="375"/>
      <c r="F59" s="375"/>
      <c r="G59" s="375"/>
      <c r="H59" s="376"/>
      <c r="I59" s="376"/>
      <c r="J59" s="376"/>
      <c r="K59" s="376"/>
      <c r="L59" s="371"/>
      <c r="M59" s="371"/>
      <c r="N59" s="367"/>
    </row>
    <row r="60" spans="1:14" s="17" customFormat="1" ht="34.5" customHeight="1" thickTop="1" thickBot="1" x14ac:dyDescent="0.4">
      <c r="A60" s="497" t="s">
        <v>213</v>
      </c>
      <c r="B60" s="498"/>
      <c r="C60" s="498"/>
      <c r="D60" s="498"/>
      <c r="E60" s="498"/>
      <c r="F60" s="498"/>
      <c r="G60" s="498"/>
      <c r="H60" s="498"/>
      <c r="I60" s="498"/>
      <c r="J60" s="498"/>
      <c r="K60" s="499"/>
      <c r="L60" s="500">
        <f>L58+L56</f>
        <v>0</v>
      </c>
      <c r="M60" s="501"/>
      <c r="N60" s="367"/>
    </row>
    <row r="61" spans="1:14" ht="20.25" customHeight="1" thickTop="1" thickBot="1" x14ac:dyDescent="0.4">
      <c r="A61" s="377"/>
      <c r="B61" s="273"/>
      <c r="C61" s="275"/>
      <c r="D61" s="275"/>
      <c r="E61" s="275"/>
      <c r="F61" s="275"/>
      <c r="G61" s="275"/>
      <c r="H61" s="378"/>
      <c r="I61" s="378"/>
      <c r="J61" s="378"/>
      <c r="K61" s="378"/>
      <c r="L61" s="379"/>
      <c r="M61" s="379"/>
      <c r="N61" s="360"/>
    </row>
  </sheetData>
  <sheetProtection sheet="1" objects="1" scenarios="1"/>
  <mergeCells count="48">
    <mergeCell ref="A58:K58"/>
    <mergeCell ref="L58:M58"/>
    <mergeCell ref="A42:K42"/>
    <mergeCell ref="A60:K60"/>
    <mergeCell ref="L60:M60"/>
    <mergeCell ref="A45:K45"/>
    <mergeCell ref="A47:K47"/>
    <mergeCell ref="A50:K50"/>
    <mergeCell ref="A56:K56"/>
    <mergeCell ref="A52:K52"/>
    <mergeCell ref="L52:M52"/>
    <mergeCell ref="L56:M56"/>
    <mergeCell ref="A49:K49"/>
    <mergeCell ref="A37:K37"/>
    <mergeCell ref="A38:K38"/>
    <mergeCell ref="A48:K48"/>
    <mergeCell ref="A40:K40"/>
    <mergeCell ref="L42:M42"/>
    <mergeCell ref="A32:K32"/>
    <mergeCell ref="A33:K33"/>
    <mergeCell ref="A34:K34"/>
    <mergeCell ref="A35:K35"/>
    <mergeCell ref="A36:K36"/>
    <mergeCell ref="A24:D24"/>
    <mergeCell ref="I24:J24"/>
    <mergeCell ref="K24:L24"/>
    <mergeCell ref="N24:N27"/>
    <mergeCell ref="A30:K30"/>
    <mergeCell ref="A19:D19"/>
    <mergeCell ref="I19:J19"/>
    <mergeCell ref="K19:L19"/>
    <mergeCell ref="N19:N22"/>
    <mergeCell ref="A6:D6"/>
    <mergeCell ref="I6:J6"/>
    <mergeCell ref="K6:L6"/>
    <mergeCell ref="A9:D9"/>
    <mergeCell ref="I9:J9"/>
    <mergeCell ref="K9:L9"/>
    <mergeCell ref="N9:N12"/>
    <mergeCell ref="A14:D14"/>
    <mergeCell ref="I14:J14"/>
    <mergeCell ref="K14:L14"/>
    <mergeCell ref="A1:N1"/>
    <mergeCell ref="A3:D3"/>
    <mergeCell ref="A4:D4"/>
    <mergeCell ref="F4:H4"/>
    <mergeCell ref="I4:J4"/>
    <mergeCell ref="K4:L4"/>
  </mergeCells>
  <pageMargins left="0.23622047244094491" right="0.23622047244094491" top="0.43307086614173229" bottom="0.27559055118110237" header="0.15748031496062992" footer="0.11811023622047245"/>
  <pageSetup paperSize="9" scale="42" fitToHeight="0" orientation="landscape" r:id="rId1"/>
  <headerFooter>
    <oddHeader xml:space="preserve">&amp;LVeřejná zakázka &amp;"-,Tučné"Expozice "Křehká krása rašelinišť", část 1 - Expozice&amp;"-,Obyčejné"
Příloha č. 1 Výzvy k podání nabídek / smlouvy – &amp;"-,Tučné"Soupis dodávek a prací / Rozpočet&amp;C
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94"/>
  <sheetViews>
    <sheetView topLeftCell="A67" zoomScale="60" zoomScaleNormal="60" zoomScalePageLayoutView="55" workbookViewId="0">
      <selection activeCell="L87" sqref="L87"/>
    </sheetView>
  </sheetViews>
  <sheetFormatPr defaultColWidth="9.1796875" defaultRowHeight="14.5" x14ac:dyDescent="0.35"/>
  <cols>
    <col min="1" max="1" width="5" style="13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4.453125" style="2" customWidth="1"/>
    <col min="7" max="7" width="20.26953125" style="2" customWidth="1"/>
    <col min="8" max="8" width="55.7265625" style="13" customWidth="1"/>
    <col min="9" max="11" width="13.7265625" style="13" customWidth="1"/>
    <col min="12" max="13" width="23.7265625" style="13" customWidth="1"/>
    <col min="14" max="14" width="90.7265625" style="13" customWidth="1"/>
    <col min="15" max="15" width="50.453125" style="13" customWidth="1"/>
    <col min="16" max="16384" width="9.1796875" style="13"/>
  </cols>
  <sheetData>
    <row r="1" spans="1:14" s="14" customFormat="1" ht="26.5" thickBot="1" x14ac:dyDescent="0.4">
      <c r="A1" s="465" t="s">
        <v>306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7"/>
    </row>
    <row r="2" spans="1:14" s="14" customFormat="1" x14ac:dyDescent="0.35">
      <c r="A2" s="255"/>
      <c r="B2" s="251"/>
      <c r="C2" s="253"/>
      <c r="D2" s="253"/>
      <c r="E2" s="253"/>
      <c r="F2" s="163"/>
      <c r="G2" s="163"/>
      <c r="H2" s="161"/>
      <c r="I2" s="161"/>
      <c r="J2" s="161"/>
      <c r="K2" s="161"/>
      <c r="L2" s="161"/>
      <c r="M2" s="161"/>
      <c r="N2" s="161"/>
    </row>
    <row r="3" spans="1:14" s="14" customFormat="1" ht="19" thickBot="1" x14ac:dyDescent="0.4">
      <c r="A3" s="468" t="s">
        <v>71</v>
      </c>
      <c r="B3" s="469"/>
      <c r="C3" s="469"/>
      <c r="D3" s="469"/>
      <c r="E3" s="253"/>
      <c r="F3" s="163"/>
      <c r="G3" s="163"/>
      <c r="H3" s="161"/>
      <c r="I3" s="161"/>
      <c r="J3" s="161"/>
      <c r="K3" s="161"/>
      <c r="L3" s="161"/>
      <c r="M3" s="161"/>
      <c r="N3" s="161"/>
    </row>
    <row r="4" spans="1:14" s="14" customFormat="1" ht="36" customHeight="1" x14ac:dyDescent="0.35">
      <c r="A4" s="470" t="s">
        <v>199</v>
      </c>
      <c r="B4" s="471"/>
      <c r="C4" s="471"/>
      <c r="D4" s="471"/>
      <c r="E4" s="306"/>
      <c r="F4" s="472" t="s">
        <v>134</v>
      </c>
      <c r="G4" s="473"/>
      <c r="H4" s="473"/>
      <c r="I4" s="474" t="s">
        <v>82</v>
      </c>
      <c r="J4" s="475"/>
      <c r="K4" s="476"/>
      <c r="L4" s="476"/>
      <c r="M4" s="307"/>
      <c r="N4" s="308"/>
    </row>
    <row r="5" spans="1:14" s="14" customFormat="1" ht="18.5" x14ac:dyDescent="0.35">
      <c r="A5" s="309"/>
      <c r="B5" s="310"/>
      <c r="C5" s="311"/>
      <c r="D5" s="311"/>
      <c r="E5" s="138"/>
      <c r="F5" s="198"/>
      <c r="G5" s="198"/>
      <c r="H5" s="312"/>
      <c r="I5" s="312"/>
      <c r="J5" s="312"/>
      <c r="K5" s="312"/>
      <c r="L5" s="312"/>
      <c r="M5" s="312"/>
      <c r="N5" s="313"/>
    </row>
    <row r="6" spans="1:14" s="14" customFormat="1" ht="18.5" x14ac:dyDescent="0.35">
      <c r="A6" s="477" t="s">
        <v>66</v>
      </c>
      <c r="B6" s="469"/>
      <c r="C6" s="469"/>
      <c r="D6" s="469"/>
      <c r="E6" s="138"/>
      <c r="F6" s="314" t="s">
        <v>83</v>
      </c>
      <c r="G6" s="198" t="s">
        <v>73</v>
      </c>
      <c r="H6" s="315" t="s">
        <v>197</v>
      </c>
      <c r="I6" s="478"/>
      <c r="J6" s="478"/>
      <c r="K6" s="479"/>
      <c r="L6" s="478"/>
      <c r="M6" s="312"/>
      <c r="N6" s="313"/>
    </row>
    <row r="7" spans="1:14" s="14" customFormat="1" ht="18.5" x14ac:dyDescent="0.35">
      <c r="A7" s="316"/>
      <c r="B7" s="317"/>
      <c r="C7" s="317"/>
      <c r="D7" s="317"/>
      <c r="E7" s="138"/>
      <c r="F7" s="318"/>
      <c r="G7" s="319"/>
      <c r="H7" s="320"/>
      <c r="I7" s="319"/>
      <c r="J7" s="319"/>
      <c r="K7" s="321"/>
      <c r="L7" s="319"/>
      <c r="M7" s="322"/>
      <c r="N7" s="323"/>
    </row>
    <row r="8" spans="1:14" s="14" customFormat="1" ht="19" thickBot="1" x14ac:dyDescent="0.4">
      <c r="A8" s="309"/>
      <c r="B8" s="310"/>
      <c r="C8" s="311"/>
      <c r="D8" s="311"/>
      <c r="E8" s="138"/>
      <c r="F8" s="324"/>
      <c r="G8" s="198"/>
      <c r="H8" s="315"/>
      <c r="I8" s="312"/>
      <c r="J8" s="312"/>
      <c r="K8" s="312"/>
      <c r="L8" s="312"/>
      <c r="M8" s="312"/>
      <c r="N8" s="313"/>
    </row>
    <row r="9" spans="1:14" s="14" customFormat="1" ht="18.5" x14ac:dyDescent="0.35">
      <c r="A9" s="477" t="s">
        <v>196</v>
      </c>
      <c r="B9" s="469"/>
      <c r="C9" s="469"/>
      <c r="D9" s="469"/>
      <c r="E9" s="138"/>
      <c r="F9" s="314" t="s">
        <v>195</v>
      </c>
      <c r="G9" s="198" t="s">
        <v>73</v>
      </c>
      <c r="H9" s="315" t="s">
        <v>197</v>
      </c>
      <c r="I9" s="478"/>
      <c r="J9" s="478"/>
      <c r="K9" s="479"/>
      <c r="L9" s="478"/>
      <c r="M9" s="380"/>
      <c r="N9" s="381" t="s">
        <v>74</v>
      </c>
    </row>
    <row r="10" spans="1:14" s="14" customFormat="1" ht="18.5" x14ac:dyDescent="0.35">
      <c r="A10" s="316"/>
      <c r="B10" s="317"/>
      <c r="C10" s="317"/>
      <c r="D10" s="317"/>
      <c r="E10" s="138"/>
      <c r="F10" s="325" t="s">
        <v>69</v>
      </c>
      <c r="G10" s="198"/>
      <c r="H10" s="315"/>
      <c r="I10" s="198"/>
      <c r="J10" s="198"/>
      <c r="K10" s="198"/>
      <c r="L10" s="198"/>
      <c r="M10" s="312"/>
      <c r="N10" s="382"/>
    </row>
    <row r="11" spans="1:14" s="14" customFormat="1" ht="18.5" x14ac:dyDescent="0.35">
      <c r="A11" s="316"/>
      <c r="B11" s="317"/>
      <c r="C11" s="317"/>
      <c r="D11" s="317"/>
      <c r="E11" s="138"/>
      <c r="F11" s="312" t="s">
        <v>310</v>
      </c>
      <c r="G11" s="198"/>
      <c r="H11" s="315"/>
      <c r="I11" s="198"/>
      <c r="J11" s="198"/>
      <c r="K11" s="198"/>
      <c r="L11" s="198"/>
      <c r="M11" s="312"/>
      <c r="N11" s="382"/>
    </row>
    <row r="12" spans="1:14" s="14" customFormat="1" ht="19" thickBot="1" x14ac:dyDescent="0.4">
      <c r="A12" s="316"/>
      <c r="B12" s="317"/>
      <c r="C12" s="317"/>
      <c r="D12" s="317"/>
      <c r="E12" s="138"/>
      <c r="F12" s="326"/>
      <c r="G12" s="319"/>
      <c r="H12" s="320"/>
      <c r="I12" s="322"/>
      <c r="J12" s="322"/>
      <c r="K12" s="322"/>
      <c r="L12" s="322"/>
      <c r="M12" s="322"/>
      <c r="N12" s="383"/>
    </row>
    <row r="13" spans="1:14" s="14" customFormat="1" ht="19" thickBot="1" x14ac:dyDescent="0.4">
      <c r="A13" s="309"/>
      <c r="B13" s="310"/>
      <c r="C13" s="311"/>
      <c r="D13" s="311"/>
      <c r="E13" s="138"/>
      <c r="F13" s="146" t="str">
        <f>IF('00_SOUHRNNÝ LIST'!F13="","",'00_SOUHRNNÝ LIST'!F13)</f>
        <v/>
      </c>
      <c r="G13" s="146" t="str">
        <f>IF('00_SOUHRNNÝ LIST'!G13="","",'00_SOUHRNNÝ LIST'!G13)</f>
        <v/>
      </c>
      <c r="H13" s="146" t="str">
        <f>IF('00_SOUHRNNÝ LIST'!H13="","",'00_SOUHRNNÝ LIST'!H13)</f>
        <v/>
      </c>
      <c r="I13" s="146" t="str">
        <f>IF('00_SOUHRNNÝ LIST'!I13="","",'00_SOUHRNNÝ LIST'!I13)</f>
        <v/>
      </c>
      <c r="J13" s="146" t="str">
        <f>IF('00_SOUHRNNÝ LIST'!J13="","",'00_SOUHRNNÝ LIST'!J13)</f>
        <v/>
      </c>
      <c r="K13" s="146" t="str">
        <f>IF('00_SOUHRNNÝ LIST'!K13="","",'00_SOUHRNNÝ LIST'!K13)</f>
        <v/>
      </c>
      <c r="L13" s="146" t="str">
        <f>IF('00_SOUHRNNÝ LIST'!L13="","",'00_SOUHRNNÝ LIST'!L13)</f>
        <v/>
      </c>
      <c r="M13" s="146" t="str">
        <f>IF('00_SOUHRNNÝ LIST'!M13="","",'00_SOUHRNNÝ LIST'!M13)</f>
        <v/>
      </c>
      <c r="N13" s="137" t="str">
        <f>IF('00_SOUHRNNÝ LIST'!N13="","",'00_SOUHRNNÝ LIST'!N13)</f>
        <v/>
      </c>
    </row>
    <row r="14" spans="1:14" s="14" customFormat="1" ht="18.5" x14ac:dyDescent="0.35">
      <c r="A14" s="477" t="s">
        <v>339</v>
      </c>
      <c r="B14" s="469"/>
      <c r="C14" s="469"/>
      <c r="D14" s="469"/>
      <c r="E14" s="138"/>
      <c r="F14" s="150" t="str">
        <f>IF('00_SOUHRNNÝ LIST'!F14="","",'00_SOUHRNNÝ LIST'!F14)</f>
        <v/>
      </c>
      <c r="G14" s="147" t="str">
        <f>IF('00_SOUHRNNÝ LIST'!G14="","",'00_SOUHRNNÝ LIST'!G14)</f>
        <v>kontaktní osoba:</v>
      </c>
      <c r="H14" s="151" t="str">
        <f>IF('00_SOUHRNNÝ LIST'!H14="","",'00_SOUHRNNÝ LIST'!H14)</f>
        <v/>
      </c>
      <c r="I14" s="514" t="str">
        <f>IF('00_SOUHRNNÝ LIST'!I14="","",'00_SOUHRNNÝ LIST'!I14)</f>
        <v/>
      </c>
      <c r="J14" s="514" t="str">
        <f>IF('00_SOUHRNNÝ LIST'!J14="","",'00_SOUHRNNÝ LIST'!J14)</f>
        <v/>
      </c>
      <c r="K14" s="514" t="str">
        <f>IF('00_SOUHRNNÝ LIST'!K14="","",'00_SOUHRNNÝ LIST'!K14)</f>
        <v/>
      </c>
      <c r="L14" s="514" t="str">
        <f>IF('00_SOUHRNNÝ LIST'!L14="","",'00_SOUHRNNÝ LIST'!L14)</f>
        <v/>
      </c>
      <c r="M14" s="149" t="str">
        <f>IF('00_SOUHRNNÝ LIST'!M14="","",'00_SOUHRNNÝ LIST'!M14)</f>
        <v/>
      </c>
      <c r="N14" s="157" t="str">
        <f>IF('00_SOUHRNNÝ LIST'!N14="","",'00_SOUHRNNÝ LIST'!N14)</f>
        <v>datum a podpis:</v>
      </c>
    </row>
    <row r="15" spans="1:14" s="14" customFormat="1" ht="18.5" x14ac:dyDescent="0.35">
      <c r="A15" s="316"/>
      <c r="B15" s="317"/>
      <c r="C15" s="317"/>
      <c r="D15" s="317"/>
      <c r="E15" s="138"/>
      <c r="F15" s="150" t="str">
        <f>IF('00_SOUHRNNÝ LIST'!F15="","",'00_SOUHRNNÝ LIST'!F15)</f>
        <v/>
      </c>
      <c r="G15" s="147" t="str">
        <f>IF('00_SOUHRNNÝ LIST'!G15="","",'00_SOUHRNNÝ LIST'!G15)</f>
        <v/>
      </c>
      <c r="H15" s="148" t="str">
        <f>IF('00_SOUHRNNÝ LIST'!H15="","",'00_SOUHRNNÝ LIST'!H15)</f>
        <v/>
      </c>
      <c r="I15" s="147" t="str">
        <f>IF('00_SOUHRNNÝ LIST'!I15="","",'00_SOUHRNNÝ LIST'!I15)</f>
        <v/>
      </c>
      <c r="J15" s="147" t="str">
        <f>IF('00_SOUHRNNÝ LIST'!J15="","",'00_SOUHRNNÝ LIST'!J15)</f>
        <v/>
      </c>
      <c r="K15" s="147" t="str">
        <f>IF('00_SOUHRNNÝ LIST'!K15="","",'00_SOUHRNNÝ LIST'!K15)</f>
        <v/>
      </c>
      <c r="L15" s="147" t="str">
        <f>IF('00_SOUHRNNÝ LIST'!L15="","",'00_SOUHRNNÝ LIST'!L15)</f>
        <v/>
      </c>
      <c r="M15" s="151" t="str">
        <f>IF('00_SOUHRNNÝ LIST'!M15="","",'00_SOUHRNNÝ LIST'!M15)</f>
        <v/>
      </c>
      <c r="N15" s="158" t="str">
        <f>IF('00_SOUHRNNÝ LIST'!N15="","",'00_SOUHRNNÝ LIST'!N15)</f>
        <v/>
      </c>
    </row>
    <row r="16" spans="1:14" s="14" customFormat="1" ht="18.5" x14ac:dyDescent="0.35">
      <c r="A16" s="316"/>
      <c r="B16" s="317"/>
      <c r="C16" s="317"/>
      <c r="D16" s="317"/>
      <c r="E16" s="138"/>
      <c r="F16" s="150" t="str">
        <f>IF('00_SOUHRNNÝ LIST'!F16="","",'00_SOUHRNNÝ LIST'!F16)</f>
        <v xml:space="preserve">IČO: </v>
      </c>
      <c r="G16" s="147" t="str">
        <f>IF('00_SOUHRNNÝ LIST'!G16="","",'00_SOUHRNNÝ LIST'!G16)</f>
        <v/>
      </c>
      <c r="H16" s="148" t="str">
        <f>IF('00_SOUHRNNÝ LIST'!H16="","",'00_SOUHRNNÝ LIST'!H16)</f>
        <v/>
      </c>
      <c r="I16" s="147" t="str">
        <f>IF('00_SOUHRNNÝ LIST'!I16="","",'00_SOUHRNNÝ LIST'!I16)</f>
        <v/>
      </c>
      <c r="J16" s="147" t="str">
        <f>IF('00_SOUHRNNÝ LIST'!J16="","",'00_SOUHRNNÝ LIST'!J16)</f>
        <v/>
      </c>
      <c r="K16" s="147" t="str">
        <f>IF('00_SOUHRNNÝ LIST'!K16="","",'00_SOUHRNNÝ LIST'!K16)</f>
        <v/>
      </c>
      <c r="L16" s="147" t="str">
        <f>IF('00_SOUHRNNÝ LIST'!L16="","",'00_SOUHRNNÝ LIST'!L16)</f>
        <v/>
      </c>
      <c r="M16" s="151" t="str">
        <f>IF('00_SOUHRNNÝ LIST'!M16="","",'00_SOUHRNNÝ LIST'!M16)</f>
        <v/>
      </c>
      <c r="N16" s="158" t="str">
        <f>IF('00_SOUHRNNÝ LIST'!N16="","",'00_SOUHRNNÝ LIST'!N16)</f>
        <v/>
      </c>
    </row>
    <row r="17" spans="1:14" s="14" customFormat="1" ht="19" thickBot="1" x14ac:dyDescent="0.4">
      <c r="A17" s="316"/>
      <c r="B17" s="317"/>
      <c r="C17" s="317"/>
      <c r="D17" s="317"/>
      <c r="E17" s="138"/>
      <c r="F17" s="152" t="str">
        <f>IF('00_SOUHRNNÝ LIST'!F17="","",'00_SOUHRNNÝ LIST'!F17)</f>
        <v/>
      </c>
      <c r="G17" s="153" t="str">
        <f>IF('00_SOUHRNNÝ LIST'!G17="","",'00_SOUHRNNÝ LIST'!G17)</f>
        <v/>
      </c>
      <c r="H17" s="154" t="str">
        <f>IF('00_SOUHRNNÝ LIST'!H17="","",'00_SOUHRNNÝ LIST'!H17)</f>
        <v/>
      </c>
      <c r="I17" s="155" t="str">
        <f>IF('00_SOUHRNNÝ LIST'!I17="","",'00_SOUHRNNÝ LIST'!I17)</f>
        <v/>
      </c>
      <c r="J17" s="155" t="str">
        <f>IF('00_SOUHRNNÝ LIST'!J17="","",'00_SOUHRNNÝ LIST'!J17)</f>
        <v/>
      </c>
      <c r="K17" s="155" t="str">
        <f>IF('00_SOUHRNNÝ LIST'!K17="","",'00_SOUHRNNÝ LIST'!K17)</f>
        <v/>
      </c>
      <c r="L17" s="155" t="str">
        <f>IF('00_SOUHRNNÝ LIST'!L17="","",'00_SOUHRNNÝ LIST'!L17)</f>
        <v/>
      </c>
      <c r="M17" s="155" t="str">
        <f>IF('00_SOUHRNNÝ LIST'!M17="","",'00_SOUHRNNÝ LIST'!M17)</f>
        <v/>
      </c>
      <c r="N17" s="159" t="str">
        <f>IF('00_SOUHRNNÝ LIST'!N17="","",'00_SOUHRNNÝ LIST'!N17)</f>
        <v/>
      </c>
    </row>
    <row r="18" spans="1:14" s="14" customFormat="1" ht="19" thickBot="1" x14ac:dyDescent="0.4">
      <c r="A18" s="309"/>
      <c r="B18" s="310"/>
      <c r="C18" s="311"/>
      <c r="D18" s="311"/>
      <c r="E18" s="138"/>
      <c r="F18" s="324"/>
      <c r="G18" s="198"/>
      <c r="H18" s="315"/>
      <c r="I18" s="312"/>
      <c r="J18" s="312"/>
      <c r="K18" s="312"/>
      <c r="L18" s="312"/>
      <c r="M18" s="312"/>
      <c r="N18" s="328"/>
    </row>
    <row r="19" spans="1:14" s="14" customFormat="1" ht="18.5" x14ac:dyDescent="0.35">
      <c r="A19" s="477" t="s">
        <v>67</v>
      </c>
      <c r="B19" s="469"/>
      <c r="C19" s="469"/>
      <c r="D19" s="469"/>
      <c r="E19" s="138"/>
      <c r="F19" s="314" t="s">
        <v>70</v>
      </c>
      <c r="G19" s="198" t="s">
        <v>73</v>
      </c>
      <c r="H19" s="315" t="s">
        <v>198</v>
      </c>
      <c r="I19" s="478"/>
      <c r="J19" s="478"/>
      <c r="K19" s="479"/>
      <c r="L19" s="478"/>
      <c r="M19" s="198"/>
      <c r="N19" s="480" t="s">
        <v>194</v>
      </c>
    </row>
    <row r="20" spans="1:14" s="14" customFormat="1" ht="18.5" x14ac:dyDescent="0.35">
      <c r="A20" s="309"/>
      <c r="B20" s="310"/>
      <c r="C20" s="311"/>
      <c r="D20" s="311"/>
      <c r="E20" s="138"/>
      <c r="F20" s="325" t="s">
        <v>72</v>
      </c>
      <c r="G20" s="198"/>
      <c r="H20" s="315"/>
      <c r="I20" s="312"/>
      <c r="J20" s="312"/>
      <c r="K20" s="312"/>
      <c r="L20" s="312"/>
      <c r="M20" s="312"/>
      <c r="N20" s="481"/>
    </row>
    <row r="21" spans="1:14" s="14" customFormat="1" ht="18.5" x14ac:dyDescent="0.35">
      <c r="A21" s="309"/>
      <c r="B21" s="310"/>
      <c r="C21" s="311"/>
      <c r="D21" s="311"/>
      <c r="E21" s="138"/>
      <c r="F21" s="329" t="s">
        <v>308</v>
      </c>
      <c r="G21" s="198"/>
      <c r="H21" s="315"/>
      <c r="I21" s="312"/>
      <c r="J21" s="312"/>
      <c r="K21" s="312"/>
      <c r="L21" s="312"/>
      <c r="M21" s="312"/>
      <c r="N21" s="481"/>
    </row>
    <row r="22" spans="1:14" s="14" customFormat="1" ht="19" thickBot="1" x14ac:dyDescent="0.4">
      <c r="A22" s="309"/>
      <c r="B22" s="310"/>
      <c r="C22" s="311"/>
      <c r="D22" s="311"/>
      <c r="E22" s="138"/>
      <c r="F22" s="326"/>
      <c r="G22" s="319"/>
      <c r="H22" s="320"/>
      <c r="I22" s="322"/>
      <c r="J22" s="322"/>
      <c r="K22" s="322"/>
      <c r="L22" s="322"/>
      <c r="M22" s="322"/>
      <c r="N22" s="482"/>
    </row>
    <row r="23" spans="1:14" s="14" customFormat="1" ht="19" thickBot="1" x14ac:dyDescent="0.4">
      <c r="A23" s="309"/>
      <c r="B23" s="310"/>
      <c r="C23" s="311"/>
      <c r="D23" s="311"/>
      <c r="E23" s="138"/>
      <c r="F23" s="330"/>
      <c r="G23" s="198"/>
      <c r="H23" s="315"/>
      <c r="I23" s="312"/>
      <c r="J23" s="312"/>
      <c r="K23" s="312"/>
      <c r="L23" s="312"/>
      <c r="M23" s="312"/>
      <c r="N23" s="328"/>
    </row>
    <row r="24" spans="1:14" s="14" customFormat="1" ht="18.5" x14ac:dyDescent="0.35">
      <c r="A24" s="477" t="s">
        <v>68</v>
      </c>
      <c r="B24" s="469"/>
      <c r="C24" s="469"/>
      <c r="D24" s="469"/>
      <c r="E24" s="138"/>
      <c r="F24" s="314" t="s">
        <v>70</v>
      </c>
      <c r="G24" s="198" t="s">
        <v>73</v>
      </c>
      <c r="H24" s="315" t="s">
        <v>198</v>
      </c>
      <c r="I24" s="478"/>
      <c r="J24" s="478"/>
      <c r="K24" s="479"/>
      <c r="L24" s="478"/>
      <c r="M24" s="198"/>
      <c r="N24" s="480" t="s">
        <v>194</v>
      </c>
    </row>
    <row r="25" spans="1:14" s="14" customFormat="1" ht="18.5" x14ac:dyDescent="0.35">
      <c r="A25" s="309"/>
      <c r="B25" s="310"/>
      <c r="C25" s="311"/>
      <c r="D25" s="311"/>
      <c r="E25" s="138"/>
      <c r="F25" s="325" t="s">
        <v>72</v>
      </c>
      <c r="G25" s="198"/>
      <c r="H25" s="312"/>
      <c r="I25" s="312"/>
      <c r="J25" s="312"/>
      <c r="K25" s="312"/>
      <c r="L25" s="312"/>
      <c r="M25" s="312"/>
      <c r="N25" s="481"/>
    </row>
    <row r="26" spans="1:14" s="14" customFormat="1" ht="18.5" x14ac:dyDescent="0.35">
      <c r="A26" s="309"/>
      <c r="B26" s="310"/>
      <c r="C26" s="311"/>
      <c r="D26" s="311"/>
      <c r="E26" s="138"/>
      <c r="F26" s="329" t="s">
        <v>308</v>
      </c>
      <c r="G26" s="198"/>
      <c r="H26" s="312"/>
      <c r="I26" s="312"/>
      <c r="J26" s="312"/>
      <c r="K26" s="312"/>
      <c r="L26" s="312"/>
      <c r="M26" s="312"/>
      <c r="N26" s="481"/>
    </row>
    <row r="27" spans="1:14" s="14" customFormat="1" ht="19" thickBot="1" x14ac:dyDescent="0.4">
      <c r="A27" s="384"/>
      <c r="B27" s="385"/>
      <c r="C27" s="386"/>
      <c r="D27" s="386"/>
      <c r="E27" s="198"/>
      <c r="F27" s="326"/>
      <c r="G27" s="319"/>
      <c r="H27" s="320"/>
      <c r="I27" s="322"/>
      <c r="J27" s="322"/>
      <c r="K27" s="322"/>
      <c r="L27" s="322"/>
      <c r="M27" s="322"/>
      <c r="N27" s="482"/>
    </row>
    <row r="28" spans="1:14" s="14" customFormat="1" ht="19" thickBot="1" x14ac:dyDescent="0.4">
      <c r="A28" s="331"/>
      <c r="B28" s="332"/>
      <c r="C28" s="231"/>
      <c r="D28" s="231"/>
      <c r="E28" s="231"/>
      <c r="F28" s="231"/>
      <c r="G28" s="231"/>
      <c r="H28" s="333"/>
      <c r="I28" s="333"/>
      <c r="J28" s="333"/>
      <c r="K28" s="333"/>
      <c r="L28" s="333"/>
      <c r="M28" s="333"/>
      <c r="N28" s="334"/>
    </row>
    <row r="29" spans="1:14" s="14" customFormat="1" ht="19" thickBot="1" x14ac:dyDescent="0.4">
      <c r="A29" s="312"/>
      <c r="B29" s="387"/>
      <c r="C29" s="198"/>
      <c r="D29" s="198"/>
      <c r="E29" s="198"/>
      <c r="F29" s="198"/>
      <c r="G29" s="198"/>
      <c r="H29" s="312"/>
      <c r="I29" s="312"/>
      <c r="J29" s="312"/>
      <c r="K29" s="312"/>
      <c r="L29" s="312"/>
      <c r="M29" s="312"/>
      <c r="N29" s="312"/>
    </row>
    <row r="30" spans="1:14" s="18" customFormat="1" ht="26.5" thickBot="1" x14ac:dyDescent="0.4">
      <c r="A30" s="515" t="s">
        <v>203</v>
      </c>
      <c r="B30" s="516"/>
      <c r="C30" s="516"/>
      <c r="D30" s="516"/>
      <c r="E30" s="516"/>
      <c r="F30" s="516"/>
      <c r="G30" s="516"/>
      <c r="H30" s="516"/>
      <c r="I30" s="516"/>
      <c r="J30" s="516"/>
      <c r="K30" s="516"/>
      <c r="L30" s="516"/>
      <c r="M30" s="516"/>
      <c r="N30" s="467"/>
    </row>
    <row r="31" spans="1:14" ht="10" customHeight="1" thickBot="1" x14ac:dyDescent="0.4">
      <c r="A31" s="388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161"/>
    </row>
    <row r="32" spans="1:14" ht="26.5" thickBot="1" x14ac:dyDescent="0.4">
      <c r="A32" s="508" t="s">
        <v>84</v>
      </c>
      <c r="B32" s="509"/>
      <c r="C32" s="509"/>
      <c r="D32" s="509"/>
      <c r="E32" s="509"/>
      <c r="F32" s="509"/>
      <c r="G32" s="509"/>
      <c r="H32" s="509"/>
      <c r="I32" s="509"/>
      <c r="J32" s="509"/>
      <c r="K32" s="510"/>
      <c r="L32" s="390" t="s">
        <v>7</v>
      </c>
      <c r="M32" s="390" t="s">
        <v>8</v>
      </c>
      <c r="N32" s="391"/>
    </row>
    <row r="33" spans="1:14" ht="18.5" x14ac:dyDescent="0.35">
      <c r="A33" s="477" t="s">
        <v>18</v>
      </c>
      <c r="B33" s="507"/>
      <c r="C33" s="507"/>
      <c r="D33" s="507"/>
      <c r="E33" s="507"/>
      <c r="F33" s="507"/>
      <c r="G33" s="507"/>
      <c r="H33" s="289"/>
      <c r="I33" s="289"/>
      <c r="J33" s="289"/>
      <c r="K33" s="289"/>
      <c r="L33" s="392">
        <f>'01_NA POČÁTKU BYL KÁMEN'!L5</f>
        <v>0</v>
      </c>
      <c r="M33" s="392">
        <f>'01_NA POČÁTKU BYL KÁMEN'!M5</f>
        <v>0</v>
      </c>
      <c r="N33" s="353"/>
    </row>
    <row r="34" spans="1:14" ht="18.5" x14ac:dyDescent="0.35">
      <c r="A34" s="477" t="s">
        <v>23</v>
      </c>
      <c r="B34" s="507"/>
      <c r="C34" s="507"/>
      <c r="D34" s="507"/>
      <c r="E34" s="507"/>
      <c r="F34" s="507"/>
      <c r="G34" s="507"/>
      <c r="H34" s="289"/>
      <c r="I34" s="289"/>
      <c r="J34" s="289"/>
      <c r="K34" s="289"/>
      <c r="L34" s="392">
        <f>'01_NA POČÁTKU BYL KÁMEN'!L6</f>
        <v>0</v>
      </c>
      <c r="M34" s="392">
        <f>'01_NA POČÁTKU BYL KÁMEN'!M6</f>
        <v>0</v>
      </c>
      <c r="N34" s="353"/>
    </row>
    <row r="35" spans="1:14" ht="19" thickBot="1" x14ac:dyDescent="0.4">
      <c r="A35" s="477" t="s">
        <v>24</v>
      </c>
      <c r="B35" s="507"/>
      <c r="C35" s="507"/>
      <c r="D35" s="507"/>
      <c r="E35" s="507"/>
      <c r="F35" s="507"/>
      <c r="G35" s="507"/>
      <c r="H35" s="289"/>
      <c r="I35" s="289"/>
      <c r="J35" s="289"/>
      <c r="K35" s="289"/>
      <c r="L35" s="392">
        <f>'01_NA POČÁTKU BYL KÁMEN'!L7</f>
        <v>0</v>
      </c>
      <c r="M35" s="392">
        <f>'01_NA POČÁTKU BYL KÁMEN'!M7</f>
        <v>0</v>
      </c>
      <c r="N35" s="353"/>
    </row>
    <row r="36" spans="1:14" ht="19" hidden="1" thickBot="1" x14ac:dyDescent="0.4">
      <c r="A36" s="477" t="s">
        <v>29</v>
      </c>
      <c r="B36" s="507"/>
      <c r="C36" s="507"/>
      <c r="D36" s="507"/>
      <c r="E36" s="507"/>
      <c r="F36" s="507"/>
      <c r="G36" s="507"/>
      <c r="H36" s="289"/>
      <c r="I36" s="289"/>
      <c r="J36" s="289"/>
      <c r="K36" s="289"/>
      <c r="L36" s="392">
        <f>'01_NA POČÁTKU BYL KÁMEN'!L9</f>
        <v>0</v>
      </c>
      <c r="M36" s="392">
        <f>'01_NA POČÁTKU BYL KÁMEN'!M9</f>
        <v>0</v>
      </c>
      <c r="N36" s="393"/>
    </row>
    <row r="37" spans="1:14" ht="26.5" thickBot="1" x14ac:dyDescent="0.4">
      <c r="A37" s="511" t="s">
        <v>288</v>
      </c>
      <c r="B37" s="512"/>
      <c r="C37" s="512"/>
      <c r="D37" s="512"/>
      <c r="E37" s="512"/>
      <c r="F37" s="512"/>
      <c r="G37" s="512"/>
      <c r="H37" s="512"/>
      <c r="I37" s="512"/>
      <c r="J37" s="512"/>
      <c r="K37" s="513"/>
      <c r="L37" s="394">
        <f>SUM(L33:L36)</f>
        <v>0</v>
      </c>
      <c r="M37" s="394">
        <f>SUM(M33:M36)</f>
        <v>0</v>
      </c>
      <c r="N37" s="395"/>
    </row>
    <row r="38" spans="1:14" ht="26.5" thickBot="1" x14ac:dyDescent="0.4">
      <c r="A38" s="396"/>
      <c r="B38" s="378"/>
      <c r="C38" s="378"/>
      <c r="D38" s="378"/>
      <c r="E38" s="378"/>
      <c r="F38" s="378"/>
      <c r="G38" s="378"/>
      <c r="H38" s="378"/>
      <c r="I38" s="378"/>
      <c r="J38" s="378"/>
      <c r="K38" s="378"/>
      <c r="L38" s="378"/>
      <c r="M38" s="378"/>
      <c r="N38" s="397"/>
    </row>
    <row r="39" spans="1:14" ht="26.5" thickBot="1" x14ac:dyDescent="0.4">
      <c r="A39" s="508" t="s">
        <v>85</v>
      </c>
      <c r="B39" s="509"/>
      <c r="C39" s="509"/>
      <c r="D39" s="509"/>
      <c r="E39" s="509"/>
      <c r="F39" s="509"/>
      <c r="G39" s="509"/>
      <c r="H39" s="509"/>
      <c r="I39" s="509"/>
      <c r="J39" s="509"/>
      <c r="K39" s="510"/>
      <c r="L39" s="398" t="s">
        <v>7</v>
      </c>
      <c r="M39" s="398" t="s">
        <v>8</v>
      </c>
      <c r="N39" s="353"/>
    </row>
    <row r="40" spans="1:14" ht="18.5" x14ac:dyDescent="0.35">
      <c r="A40" s="477" t="s">
        <v>18</v>
      </c>
      <c r="B40" s="507"/>
      <c r="C40" s="507"/>
      <c r="D40" s="507"/>
      <c r="E40" s="507"/>
      <c r="F40" s="507"/>
      <c r="G40" s="507"/>
      <c r="H40" s="289"/>
      <c r="I40" s="289"/>
      <c r="J40" s="289"/>
      <c r="K40" s="289"/>
      <c r="L40" s="392">
        <f>'02_KŘEHKÁ KRÁSA I'!L5</f>
        <v>0</v>
      </c>
      <c r="M40" s="392">
        <f>'02_KŘEHKÁ KRÁSA I'!M5</f>
        <v>0</v>
      </c>
      <c r="N40" s="353"/>
    </row>
    <row r="41" spans="1:14" ht="18.5" x14ac:dyDescent="0.35">
      <c r="A41" s="477" t="s">
        <v>23</v>
      </c>
      <c r="B41" s="507"/>
      <c r="C41" s="507"/>
      <c r="D41" s="507"/>
      <c r="E41" s="507"/>
      <c r="F41" s="507"/>
      <c r="G41" s="507"/>
      <c r="H41" s="289"/>
      <c r="I41" s="289"/>
      <c r="J41" s="289"/>
      <c r="K41" s="289"/>
      <c r="L41" s="392">
        <f>'02_KŘEHKÁ KRÁSA I'!L6</f>
        <v>0</v>
      </c>
      <c r="M41" s="392">
        <f>'02_KŘEHKÁ KRÁSA I'!M6</f>
        <v>0</v>
      </c>
      <c r="N41" s="353"/>
    </row>
    <row r="42" spans="1:14" ht="18.5" hidden="1" x14ac:dyDescent="0.35">
      <c r="A42" s="477" t="s">
        <v>24</v>
      </c>
      <c r="B42" s="507"/>
      <c r="C42" s="507"/>
      <c r="D42" s="507"/>
      <c r="E42" s="507"/>
      <c r="F42" s="507"/>
      <c r="G42" s="507"/>
      <c r="H42" s="289"/>
      <c r="I42" s="289"/>
      <c r="J42" s="289"/>
      <c r="K42" s="289"/>
      <c r="L42" s="392">
        <f>'02_KŘEHKÁ KRÁSA I'!L7</f>
        <v>0</v>
      </c>
      <c r="M42" s="392">
        <f>'02_KŘEHKÁ KRÁSA I'!M7</f>
        <v>0</v>
      </c>
      <c r="N42" s="353"/>
    </row>
    <row r="43" spans="1:14" ht="21.5" thickBot="1" x14ac:dyDescent="0.4">
      <c r="A43" s="477" t="s">
        <v>29</v>
      </c>
      <c r="B43" s="507"/>
      <c r="C43" s="507"/>
      <c r="D43" s="507"/>
      <c r="E43" s="507"/>
      <c r="F43" s="507"/>
      <c r="G43" s="507"/>
      <c r="H43" s="289"/>
      <c r="I43" s="289"/>
      <c r="J43" s="289"/>
      <c r="K43" s="289"/>
      <c r="L43" s="392">
        <f>'02_KŘEHKÁ KRÁSA I'!L9</f>
        <v>0</v>
      </c>
      <c r="M43" s="392">
        <f>'02_KŘEHKÁ KRÁSA I'!M9</f>
        <v>0</v>
      </c>
      <c r="N43" s="305"/>
    </row>
    <row r="44" spans="1:14" ht="26.5" thickBot="1" x14ac:dyDescent="0.4">
      <c r="A44" s="511" t="s">
        <v>288</v>
      </c>
      <c r="B44" s="512"/>
      <c r="C44" s="512"/>
      <c r="D44" s="512"/>
      <c r="E44" s="512"/>
      <c r="F44" s="512"/>
      <c r="G44" s="512"/>
      <c r="H44" s="512"/>
      <c r="I44" s="512"/>
      <c r="J44" s="512"/>
      <c r="K44" s="513"/>
      <c r="L44" s="399">
        <f>SUM(L40:L43)</f>
        <v>0</v>
      </c>
      <c r="M44" s="399">
        <f>SUM(M40:M43)</f>
        <v>0</v>
      </c>
      <c r="N44" s="353"/>
    </row>
    <row r="45" spans="1:14" ht="26.5" thickBot="1" x14ac:dyDescent="0.4">
      <c r="A45" s="396"/>
      <c r="B45" s="378"/>
      <c r="C45" s="378"/>
      <c r="D45" s="378"/>
      <c r="E45" s="378"/>
      <c r="F45" s="378"/>
      <c r="G45" s="378"/>
      <c r="H45" s="378"/>
      <c r="I45" s="378"/>
      <c r="J45" s="378"/>
      <c r="K45" s="378"/>
      <c r="L45" s="378"/>
      <c r="M45" s="378"/>
      <c r="N45" s="397"/>
    </row>
    <row r="46" spans="1:14" ht="26.5" thickBot="1" x14ac:dyDescent="0.4">
      <c r="A46" s="508" t="s">
        <v>86</v>
      </c>
      <c r="B46" s="509"/>
      <c r="C46" s="509"/>
      <c r="D46" s="509"/>
      <c r="E46" s="509"/>
      <c r="F46" s="509"/>
      <c r="G46" s="509"/>
      <c r="H46" s="509"/>
      <c r="I46" s="509"/>
      <c r="J46" s="509"/>
      <c r="K46" s="510"/>
      <c r="L46" s="398" t="s">
        <v>7</v>
      </c>
      <c r="M46" s="398" t="s">
        <v>8</v>
      </c>
      <c r="N46" s="353"/>
    </row>
    <row r="47" spans="1:14" ht="18.5" x14ac:dyDescent="0.35">
      <c r="A47" s="477" t="s">
        <v>18</v>
      </c>
      <c r="B47" s="507"/>
      <c r="C47" s="507"/>
      <c r="D47" s="507"/>
      <c r="E47" s="507"/>
      <c r="F47" s="507"/>
      <c r="G47" s="507"/>
      <c r="H47" s="289"/>
      <c r="I47" s="289"/>
      <c r="J47" s="289"/>
      <c r="K47" s="289"/>
      <c r="L47" s="392">
        <f>'03_KŘEHKÁ KRÁSA II'!L5</f>
        <v>0</v>
      </c>
      <c r="M47" s="392">
        <f>'03_KŘEHKÁ KRÁSA II'!M5</f>
        <v>0</v>
      </c>
      <c r="N47" s="353"/>
    </row>
    <row r="48" spans="1:14" ht="19" thickBot="1" x14ac:dyDescent="0.4">
      <c r="A48" s="477" t="s">
        <v>23</v>
      </c>
      <c r="B48" s="507"/>
      <c r="C48" s="507"/>
      <c r="D48" s="507"/>
      <c r="E48" s="507"/>
      <c r="F48" s="507"/>
      <c r="G48" s="507"/>
      <c r="H48" s="289"/>
      <c r="I48" s="289"/>
      <c r="J48" s="289"/>
      <c r="K48" s="289"/>
      <c r="L48" s="392">
        <f>'03_KŘEHKÁ KRÁSA II'!L6</f>
        <v>0</v>
      </c>
      <c r="M48" s="392">
        <f>'03_KŘEHKÁ KRÁSA II'!M6</f>
        <v>0</v>
      </c>
      <c r="N48" s="353"/>
    </row>
    <row r="49" spans="1:14" ht="18.5" hidden="1" x14ac:dyDescent="0.35">
      <c r="A49" s="477" t="s">
        <v>24</v>
      </c>
      <c r="B49" s="507"/>
      <c r="C49" s="507"/>
      <c r="D49" s="507"/>
      <c r="E49" s="507"/>
      <c r="F49" s="507"/>
      <c r="G49" s="507"/>
      <c r="H49" s="289"/>
      <c r="I49" s="289"/>
      <c r="J49" s="289"/>
      <c r="K49" s="289"/>
      <c r="L49" s="392">
        <f>'03_KŘEHKÁ KRÁSA II'!L7</f>
        <v>0</v>
      </c>
      <c r="M49" s="392">
        <f>'03_KŘEHKÁ KRÁSA II'!M7</f>
        <v>0</v>
      </c>
      <c r="N49" s="353"/>
    </row>
    <row r="50" spans="1:14" ht="18.5" hidden="1" x14ac:dyDescent="0.35">
      <c r="A50" s="477" t="s">
        <v>28</v>
      </c>
      <c r="B50" s="507"/>
      <c r="C50" s="507"/>
      <c r="D50" s="507"/>
      <c r="E50" s="507"/>
      <c r="F50" s="507"/>
      <c r="G50" s="507"/>
      <c r="H50" s="289"/>
      <c r="I50" s="289"/>
      <c r="J50" s="289"/>
      <c r="K50" s="289"/>
      <c r="L50" s="392">
        <f>'03_KŘEHKÁ KRÁSA II'!L8</f>
        <v>0</v>
      </c>
      <c r="M50" s="392">
        <f>'03_KŘEHKÁ KRÁSA II'!M8</f>
        <v>0</v>
      </c>
      <c r="N50" s="353"/>
    </row>
    <row r="51" spans="1:14" ht="19" hidden="1" thickBot="1" x14ac:dyDescent="0.4">
      <c r="A51" s="477" t="s">
        <v>29</v>
      </c>
      <c r="B51" s="507"/>
      <c r="C51" s="507"/>
      <c r="D51" s="507"/>
      <c r="E51" s="507"/>
      <c r="F51" s="507"/>
      <c r="G51" s="507"/>
      <c r="H51" s="289"/>
      <c r="I51" s="289"/>
      <c r="J51" s="289"/>
      <c r="K51" s="289"/>
      <c r="L51" s="392">
        <f>'03_KŘEHKÁ KRÁSA II'!L9</f>
        <v>0</v>
      </c>
      <c r="M51" s="392">
        <f>'03_KŘEHKÁ KRÁSA II'!M9</f>
        <v>0</v>
      </c>
      <c r="N51" s="393"/>
    </row>
    <row r="52" spans="1:14" ht="26.5" thickBot="1" x14ac:dyDescent="0.4">
      <c r="A52" s="511" t="s">
        <v>288</v>
      </c>
      <c r="B52" s="512"/>
      <c r="C52" s="512"/>
      <c r="D52" s="512"/>
      <c r="E52" s="512"/>
      <c r="F52" s="512"/>
      <c r="G52" s="512"/>
      <c r="H52" s="512"/>
      <c r="I52" s="512"/>
      <c r="J52" s="512"/>
      <c r="K52" s="513"/>
      <c r="L52" s="399">
        <f>SUM(L47:L51)</f>
        <v>0</v>
      </c>
      <c r="M52" s="399">
        <f>SUM(M47:M51)</f>
        <v>0</v>
      </c>
      <c r="N52" s="353"/>
    </row>
    <row r="53" spans="1:14" ht="26.5" thickBot="1" x14ac:dyDescent="0.4">
      <c r="A53" s="396"/>
      <c r="B53" s="378"/>
      <c r="C53" s="378"/>
      <c r="D53" s="378"/>
      <c r="E53" s="378"/>
      <c r="F53" s="378"/>
      <c r="G53" s="378"/>
      <c r="H53" s="378"/>
      <c r="I53" s="378"/>
      <c r="J53" s="378"/>
      <c r="K53" s="378"/>
      <c r="L53" s="378"/>
      <c r="M53" s="378"/>
      <c r="N53" s="397"/>
    </row>
    <row r="54" spans="1:14" ht="26.5" thickBot="1" x14ac:dyDescent="0.4">
      <c r="A54" s="508" t="s">
        <v>87</v>
      </c>
      <c r="B54" s="509"/>
      <c r="C54" s="509"/>
      <c r="D54" s="509"/>
      <c r="E54" s="509"/>
      <c r="F54" s="509"/>
      <c r="G54" s="509"/>
      <c r="H54" s="509"/>
      <c r="I54" s="509"/>
      <c r="J54" s="509"/>
      <c r="K54" s="510"/>
      <c r="L54" s="398" t="s">
        <v>7</v>
      </c>
      <c r="M54" s="398" t="s">
        <v>8</v>
      </c>
      <c r="N54" s="353"/>
    </row>
    <row r="55" spans="1:14" ht="18.5" x14ac:dyDescent="0.35">
      <c r="A55" s="477" t="s">
        <v>18</v>
      </c>
      <c r="B55" s="507"/>
      <c r="C55" s="507"/>
      <c r="D55" s="507"/>
      <c r="E55" s="507"/>
      <c r="F55" s="507"/>
      <c r="G55" s="507"/>
      <c r="H55" s="289"/>
      <c r="I55" s="289"/>
      <c r="J55" s="289"/>
      <c r="K55" s="289"/>
      <c r="L55" s="392">
        <f>'04_KRAJINA NA HOUPAČCE I'!L5</f>
        <v>0</v>
      </c>
      <c r="M55" s="392">
        <f>'04_KRAJINA NA HOUPAČCE I'!M5</f>
        <v>0</v>
      </c>
      <c r="N55" s="353"/>
    </row>
    <row r="56" spans="1:14" ht="18.5" x14ac:dyDescent="0.35">
      <c r="A56" s="477" t="s">
        <v>23</v>
      </c>
      <c r="B56" s="507"/>
      <c r="C56" s="507"/>
      <c r="D56" s="507"/>
      <c r="E56" s="507"/>
      <c r="F56" s="507"/>
      <c r="G56" s="507"/>
      <c r="H56" s="289"/>
      <c r="I56" s="289"/>
      <c r="J56" s="289"/>
      <c r="K56" s="289"/>
      <c r="L56" s="392">
        <f>'04_KRAJINA NA HOUPAČCE I'!L6</f>
        <v>0</v>
      </c>
      <c r="M56" s="392">
        <f>'04_KRAJINA NA HOUPAČCE I'!M6</f>
        <v>0</v>
      </c>
      <c r="N56" s="353"/>
    </row>
    <row r="57" spans="1:14" ht="19" thickBot="1" x14ac:dyDescent="0.4">
      <c r="A57" s="477" t="s">
        <v>24</v>
      </c>
      <c r="B57" s="507"/>
      <c r="C57" s="507"/>
      <c r="D57" s="507"/>
      <c r="E57" s="507"/>
      <c r="F57" s="507"/>
      <c r="G57" s="507"/>
      <c r="H57" s="289"/>
      <c r="I57" s="289"/>
      <c r="J57" s="289"/>
      <c r="K57" s="289"/>
      <c r="L57" s="392">
        <f>'04_KRAJINA NA HOUPAČCE I'!L7</f>
        <v>0</v>
      </c>
      <c r="M57" s="392">
        <f>'04_KRAJINA NA HOUPAČCE I'!M7</f>
        <v>0</v>
      </c>
      <c r="N57" s="353"/>
    </row>
    <row r="58" spans="1:14" ht="18.5" hidden="1" x14ac:dyDescent="0.35">
      <c r="A58" s="477" t="s">
        <v>28</v>
      </c>
      <c r="B58" s="507"/>
      <c r="C58" s="507"/>
      <c r="D58" s="507"/>
      <c r="E58" s="507"/>
      <c r="F58" s="507"/>
      <c r="G58" s="507"/>
      <c r="H58" s="289"/>
      <c r="I58" s="289"/>
      <c r="J58" s="289"/>
      <c r="K58" s="289"/>
      <c r="L58" s="392">
        <f>'04_KRAJINA NA HOUPAČCE I'!L8</f>
        <v>0</v>
      </c>
      <c r="M58" s="392">
        <f>'04_KRAJINA NA HOUPAČCE I'!M8</f>
        <v>0</v>
      </c>
      <c r="N58" s="353"/>
    </row>
    <row r="59" spans="1:14" ht="21.5" hidden="1" thickBot="1" x14ac:dyDescent="0.4">
      <c r="A59" s="477" t="s">
        <v>29</v>
      </c>
      <c r="B59" s="507"/>
      <c r="C59" s="507"/>
      <c r="D59" s="507"/>
      <c r="E59" s="507"/>
      <c r="F59" s="507"/>
      <c r="G59" s="507"/>
      <c r="H59" s="289"/>
      <c r="I59" s="289"/>
      <c r="J59" s="289"/>
      <c r="K59" s="289"/>
      <c r="L59" s="392">
        <f>'04_KRAJINA NA HOUPAČCE I'!L9</f>
        <v>0</v>
      </c>
      <c r="M59" s="392">
        <f>'04_KRAJINA NA HOUPAČCE I'!M9</f>
        <v>0</v>
      </c>
      <c r="N59" s="305"/>
    </row>
    <row r="60" spans="1:14" ht="26.5" thickBot="1" x14ac:dyDescent="0.4">
      <c r="A60" s="511" t="s">
        <v>288</v>
      </c>
      <c r="B60" s="512"/>
      <c r="C60" s="512"/>
      <c r="D60" s="512"/>
      <c r="E60" s="512"/>
      <c r="F60" s="512"/>
      <c r="G60" s="512"/>
      <c r="H60" s="512"/>
      <c r="I60" s="512"/>
      <c r="J60" s="512"/>
      <c r="K60" s="513"/>
      <c r="L60" s="399">
        <f>SUM(L55:L59)</f>
        <v>0</v>
      </c>
      <c r="M60" s="399">
        <f>SUM(M55:M59)</f>
        <v>0</v>
      </c>
      <c r="N60" s="353"/>
    </row>
    <row r="61" spans="1:14" ht="26.5" thickBot="1" x14ac:dyDescent="0.4">
      <c r="A61" s="396"/>
      <c r="B61" s="378"/>
      <c r="C61" s="378"/>
      <c r="D61" s="378"/>
      <c r="E61" s="378"/>
      <c r="F61" s="378"/>
      <c r="G61" s="378"/>
      <c r="H61" s="378"/>
      <c r="I61" s="378"/>
      <c r="J61" s="378"/>
      <c r="K61" s="378"/>
      <c r="L61" s="378"/>
      <c r="M61" s="378"/>
      <c r="N61" s="397"/>
    </row>
    <row r="62" spans="1:14" ht="26.5" thickBot="1" x14ac:dyDescent="0.4">
      <c r="A62" s="508" t="s">
        <v>88</v>
      </c>
      <c r="B62" s="509"/>
      <c r="C62" s="509"/>
      <c r="D62" s="509"/>
      <c r="E62" s="509"/>
      <c r="F62" s="509"/>
      <c r="G62" s="509"/>
      <c r="H62" s="509"/>
      <c r="I62" s="509"/>
      <c r="J62" s="509"/>
      <c r="K62" s="510"/>
      <c r="L62" s="390" t="s">
        <v>7</v>
      </c>
      <c r="M62" s="390" t="s">
        <v>8</v>
      </c>
      <c r="N62" s="366"/>
    </row>
    <row r="63" spans="1:14" ht="18.5" x14ac:dyDescent="0.35">
      <c r="A63" s="477" t="s">
        <v>18</v>
      </c>
      <c r="B63" s="507"/>
      <c r="C63" s="507"/>
      <c r="D63" s="507"/>
      <c r="E63" s="507"/>
      <c r="F63" s="507"/>
      <c r="G63" s="507"/>
      <c r="H63" s="289"/>
      <c r="I63" s="289"/>
      <c r="J63" s="289"/>
      <c r="K63" s="289"/>
      <c r="L63" s="392">
        <f>'05_KRAJINA NA HOUPAČCE II'!L5</f>
        <v>0</v>
      </c>
      <c r="M63" s="392">
        <f>'05_KRAJINA NA HOUPAČCE II'!M5</f>
        <v>0</v>
      </c>
      <c r="N63" s="353"/>
    </row>
    <row r="64" spans="1:14" ht="18.5" x14ac:dyDescent="0.35">
      <c r="A64" s="477" t="s">
        <v>23</v>
      </c>
      <c r="B64" s="507"/>
      <c r="C64" s="507"/>
      <c r="D64" s="507"/>
      <c r="E64" s="507"/>
      <c r="F64" s="507"/>
      <c r="G64" s="507"/>
      <c r="H64" s="289"/>
      <c r="I64" s="289"/>
      <c r="J64" s="289"/>
      <c r="K64" s="289"/>
      <c r="L64" s="392">
        <f>'05_KRAJINA NA HOUPAČCE II'!L6</f>
        <v>0</v>
      </c>
      <c r="M64" s="392">
        <f>'05_KRAJINA NA HOUPAČCE II'!M6</f>
        <v>0</v>
      </c>
      <c r="N64" s="353"/>
    </row>
    <row r="65" spans="1:14" ht="19" thickBot="1" x14ac:dyDescent="0.4">
      <c r="A65" s="477" t="s">
        <v>24</v>
      </c>
      <c r="B65" s="507"/>
      <c r="C65" s="507"/>
      <c r="D65" s="507"/>
      <c r="E65" s="507"/>
      <c r="F65" s="507"/>
      <c r="G65" s="507"/>
      <c r="H65" s="289"/>
      <c r="I65" s="289"/>
      <c r="J65" s="289"/>
      <c r="K65" s="289"/>
      <c r="L65" s="392">
        <f>'05_KRAJINA NA HOUPAČCE II'!L7</f>
        <v>0</v>
      </c>
      <c r="M65" s="392">
        <f>'05_KRAJINA NA HOUPAČCE II'!M7</f>
        <v>0</v>
      </c>
      <c r="N65" s="353"/>
    </row>
    <row r="66" spans="1:14" ht="21.5" hidden="1" thickBot="1" x14ac:dyDescent="0.4">
      <c r="A66" s="477" t="s">
        <v>29</v>
      </c>
      <c r="B66" s="507"/>
      <c r="C66" s="507"/>
      <c r="D66" s="507"/>
      <c r="E66" s="507"/>
      <c r="F66" s="507"/>
      <c r="G66" s="507"/>
      <c r="H66" s="289"/>
      <c r="I66" s="289"/>
      <c r="J66" s="289"/>
      <c r="K66" s="289"/>
      <c r="L66" s="392">
        <f>'05_KRAJINA NA HOUPAČCE II'!L9</f>
        <v>0</v>
      </c>
      <c r="M66" s="392">
        <f>'05_KRAJINA NA HOUPAČCE II'!M9</f>
        <v>0</v>
      </c>
      <c r="N66" s="305"/>
    </row>
    <row r="67" spans="1:14" ht="26.5" thickBot="1" x14ac:dyDescent="0.4">
      <c r="A67" s="511" t="s">
        <v>288</v>
      </c>
      <c r="B67" s="512"/>
      <c r="C67" s="512"/>
      <c r="D67" s="512"/>
      <c r="E67" s="512"/>
      <c r="F67" s="512"/>
      <c r="G67" s="512"/>
      <c r="H67" s="512"/>
      <c r="I67" s="512"/>
      <c r="J67" s="512"/>
      <c r="K67" s="513"/>
      <c r="L67" s="399">
        <f>SUM(L63:L66)</f>
        <v>0</v>
      </c>
      <c r="M67" s="399">
        <f>SUM(M63:M66)</f>
        <v>0</v>
      </c>
      <c r="N67" s="353"/>
    </row>
    <row r="68" spans="1:14" ht="26.5" thickBot="1" x14ac:dyDescent="0.4">
      <c r="A68" s="396"/>
      <c r="B68" s="378"/>
      <c r="C68" s="378"/>
      <c r="D68" s="378"/>
      <c r="E68" s="378"/>
      <c r="F68" s="378"/>
      <c r="G68" s="378"/>
      <c r="H68" s="378"/>
      <c r="I68" s="378"/>
      <c r="J68" s="378"/>
      <c r="K68" s="378"/>
      <c r="L68" s="378"/>
      <c r="M68" s="378"/>
      <c r="N68" s="397"/>
    </row>
    <row r="69" spans="1:14" ht="26.5" thickBot="1" x14ac:dyDescent="0.4">
      <c r="A69" s="508" t="s">
        <v>89</v>
      </c>
      <c r="B69" s="509"/>
      <c r="C69" s="509"/>
      <c r="D69" s="509"/>
      <c r="E69" s="509"/>
      <c r="F69" s="509"/>
      <c r="G69" s="509"/>
      <c r="H69" s="509"/>
      <c r="I69" s="509"/>
      <c r="J69" s="509"/>
      <c r="K69" s="510"/>
      <c r="L69" s="390" t="s">
        <v>7</v>
      </c>
      <c r="M69" s="390" t="s">
        <v>8</v>
      </c>
      <c r="N69" s="366"/>
    </row>
    <row r="70" spans="1:14" ht="19" thickBot="1" x14ac:dyDescent="0.4">
      <c r="A70" s="477" t="s">
        <v>18</v>
      </c>
      <c r="B70" s="507"/>
      <c r="C70" s="507"/>
      <c r="D70" s="507"/>
      <c r="E70" s="507"/>
      <c r="F70" s="507"/>
      <c r="G70" s="507"/>
      <c r="H70" s="289"/>
      <c r="I70" s="289"/>
      <c r="J70" s="289"/>
      <c r="K70" s="289"/>
      <c r="L70" s="392">
        <f>'06_UČEBNA'!L5</f>
        <v>0</v>
      </c>
      <c r="M70" s="392">
        <f>'06_UČEBNA'!M5</f>
        <v>0</v>
      </c>
      <c r="N70" s="353"/>
    </row>
    <row r="71" spans="1:14" ht="18.5" hidden="1" x14ac:dyDescent="0.35">
      <c r="A71" s="477" t="s">
        <v>23</v>
      </c>
      <c r="B71" s="507"/>
      <c r="C71" s="507"/>
      <c r="D71" s="507"/>
      <c r="E71" s="507"/>
      <c r="F71" s="507"/>
      <c r="G71" s="507"/>
      <c r="H71" s="289"/>
      <c r="I71" s="289"/>
      <c r="J71" s="289"/>
      <c r="K71" s="289"/>
      <c r="L71" s="392">
        <f>'06_UČEBNA'!L6</f>
        <v>0</v>
      </c>
      <c r="M71" s="392">
        <f>'06_UČEBNA'!M6</f>
        <v>0</v>
      </c>
      <c r="N71" s="353"/>
    </row>
    <row r="72" spans="1:14" ht="18.5" hidden="1" x14ac:dyDescent="0.35">
      <c r="A72" s="477" t="s">
        <v>24</v>
      </c>
      <c r="B72" s="507"/>
      <c r="C72" s="507"/>
      <c r="D72" s="507"/>
      <c r="E72" s="507"/>
      <c r="F72" s="507"/>
      <c r="G72" s="507"/>
      <c r="H72" s="289"/>
      <c r="I72" s="289"/>
      <c r="J72" s="289"/>
      <c r="K72" s="289"/>
      <c r="L72" s="392">
        <f>'06_UČEBNA'!L7</f>
        <v>0</v>
      </c>
      <c r="M72" s="392">
        <f>'06_UČEBNA'!M7</f>
        <v>0</v>
      </c>
      <c r="N72" s="353"/>
    </row>
    <row r="73" spans="1:14" ht="19" hidden="1" thickBot="1" x14ac:dyDescent="0.4">
      <c r="A73" s="477" t="s">
        <v>29</v>
      </c>
      <c r="B73" s="507"/>
      <c r="C73" s="507"/>
      <c r="D73" s="507"/>
      <c r="E73" s="507"/>
      <c r="F73" s="507"/>
      <c r="G73" s="507"/>
      <c r="H73" s="289"/>
      <c r="I73" s="289"/>
      <c r="J73" s="289"/>
      <c r="K73" s="289"/>
      <c r="L73" s="392">
        <f>'06_UČEBNA'!L9</f>
        <v>0</v>
      </c>
      <c r="M73" s="392">
        <f>'06_UČEBNA'!M9</f>
        <v>0</v>
      </c>
      <c r="N73" s="393"/>
    </row>
    <row r="74" spans="1:14" ht="26.5" thickBot="1" x14ac:dyDescent="0.4">
      <c r="A74" s="511" t="s">
        <v>288</v>
      </c>
      <c r="B74" s="512"/>
      <c r="C74" s="512"/>
      <c r="D74" s="512"/>
      <c r="E74" s="512"/>
      <c r="F74" s="512"/>
      <c r="G74" s="512"/>
      <c r="H74" s="512"/>
      <c r="I74" s="512"/>
      <c r="J74" s="512"/>
      <c r="K74" s="513"/>
      <c r="L74" s="399">
        <f>SUM(L70:L73)</f>
        <v>0</v>
      </c>
      <c r="M74" s="399">
        <f>SUM(M70:M73)</f>
        <v>0</v>
      </c>
      <c r="N74" s="353"/>
    </row>
    <row r="75" spans="1:14" ht="26.5" thickBot="1" x14ac:dyDescent="0.4">
      <c r="A75" s="396"/>
      <c r="B75" s="378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378"/>
      <c r="N75" s="397"/>
    </row>
    <row r="76" spans="1:14" ht="26.5" thickBot="1" x14ac:dyDescent="0.4">
      <c r="A76" s="508" t="s">
        <v>90</v>
      </c>
      <c r="B76" s="509"/>
      <c r="C76" s="509"/>
      <c r="D76" s="509"/>
      <c r="E76" s="509"/>
      <c r="F76" s="509"/>
      <c r="G76" s="509"/>
      <c r="H76" s="509"/>
      <c r="I76" s="509"/>
      <c r="J76" s="509"/>
      <c r="K76" s="510"/>
      <c r="L76" s="398" t="s">
        <v>7</v>
      </c>
      <c r="M76" s="398" t="s">
        <v>8</v>
      </c>
      <c r="N76" s="353"/>
    </row>
    <row r="77" spans="1:14" ht="18.5" x14ac:dyDescent="0.35">
      <c r="A77" s="477" t="s">
        <v>18</v>
      </c>
      <c r="B77" s="507"/>
      <c r="C77" s="507"/>
      <c r="D77" s="507"/>
      <c r="E77" s="507"/>
      <c r="F77" s="507"/>
      <c r="G77" s="507"/>
      <c r="H77" s="289"/>
      <c r="I77" s="289"/>
      <c r="J77" s="289"/>
      <c r="K77" s="289"/>
      <c r="L77" s="392">
        <f>'07_CHODBA'!L5</f>
        <v>0</v>
      </c>
      <c r="M77" s="392">
        <f>'07_CHODBA'!M5</f>
        <v>0</v>
      </c>
      <c r="N77" s="353"/>
    </row>
    <row r="78" spans="1:14" ht="19" thickBot="1" x14ac:dyDescent="0.4">
      <c r="A78" s="477" t="s">
        <v>23</v>
      </c>
      <c r="B78" s="507"/>
      <c r="C78" s="507"/>
      <c r="D78" s="507"/>
      <c r="E78" s="507"/>
      <c r="F78" s="507"/>
      <c r="G78" s="507"/>
      <c r="H78" s="289"/>
      <c r="I78" s="289"/>
      <c r="J78" s="289"/>
      <c r="K78" s="289"/>
      <c r="L78" s="392">
        <f>'07_CHODBA'!L6</f>
        <v>0</v>
      </c>
      <c r="M78" s="392">
        <f>'07_CHODBA'!M6</f>
        <v>0</v>
      </c>
      <c r="N78" s="353"/>
    </row>
    <row r="79" spans="1:14" ht="18.5" hidden="1" x14ac:dyDescent="0.35">
      <c r="A79" s="477" t="s">
        <v>24</v>
      </c>
      <c r="B79" s="507"/>
      <c r="C79" s="507"/>
      <c r="D79" s="507"/>
      <c r="E79" s="507"/>
      <c r="F79" s="507"/>
      <c r="G79" s="507"/>
      <c r="H79" s="289"/>
      <c r="I79" s="289"/>
      <c r="J79" s="289"/>
      <c r="K79" s="289"/>
      <c r="L79" s="392">
        <f>'07_CHODBA'!L7</f>
        <v>0</v>
      </c>
      <c r="M79" s="392">
        <f>'07_CHODBA'!M7</f>
        <v>0</v>
      </c>
      <c r="N79" s="353"/>
    </row>
    <row r="80" spans="1:14" ht="19" hidden="1" thickBot="1" x14ac:dyDescent="0.4">
      <c r="A80" s="477" t="s">
        <v>29</v>
      </c>
      <c r="B80" s="507"/>
      <c r="C80" s="507"/>
      <c r="D80" s="507"/>
      <c r="E80" s="507"/>
      <c r="F80" s="507"/>
      <c r="G80" s="507"/>
      <c r="H80" s="289"/>
      <c r="I80" s="289"/>
      <c r="J80" s="289"/>
      <c r="K80" s="289"/>
      <c r="L80" s="392">
        <f>'07_CHODBA'!L9</f>
        <v>0</v>
      </c>
      <c r="M80" s="392">
        <f>'07_CHODBA'!M9</f>
        <v>0</v>
      </c>
      <c r="N80" s="393"/>
    </row>
    <row r="81" spans="1:14" ht="26.5" thickBot="1" x14ac:dyDescent="0.4">
      <c r="A81" s="511" t="s">
        <v>288</v>
      </c>
      <c r="B81" s="512"/>
      <c r="C81" s="512"/>
      <c r="D81" s="512"/>
      <c r="E81" s="512"/>
      <c r="F81" s="512"/>
      <c r="G81" s="512"/>
      <c r="H81" s="512"/>
      <c r="I81" s="512"/>
      <c r="J81" s="512"/>
      <c r="K81" s="513"/>
      <c r="L81" s="399">
        <f>SUM(L77:L80)</f>
        <v>0</v>
      </c>
      <c r="M81" s="399">
        <f>SUM(M77:M80)</f>
        <v>0</v>
      </c>
      <c r="N81" s="353"/>
    </row>
    <row r="82" spans="1:14" ht="26.5" thickBot="1" x14ac:dyDescent="0.4">
      <c r="A82" s="396"/>
      <c r="B82" s="378"/>
      <c r="C82" s="378"/>
      <c r="D82" s="378"/>
      <c r="E82" s="378"/>
      <c r="F82" s="378"/>
      <c r="G82" s="378"/>
      <c r="H82" s="378"/>
      <c r="I82" s="378"/>
      <c r="J82" s="378"/>
      <c r="K82" s="378"/>
      <c r="L82" s="378"/>
      <c r="M82" s="378"/>
      <c r="N82" s="397"/>
    </row>
    <row r="83" spans="1:14" s="18" customFormat="1" ht="26.5" thickBot="1" x14ac:dyDescent="0.4">
      <c r="A83" s="515" t="s">
        <v>81</v>
      </c>
      <c r="B83" s="516"/>
      <c r="C83" s="516"/>
      <c r="D83" s="516"/>
      <c r="E83" s="516"/>
      <c r="F83" s="516"/>
      <c r="G83" s="516"/>
      <c r="H83" s="516"/>
      <c r="I83" s="516"/>
      <c r="J83" s="516"/>
      <c r="K83" s="516"/>
      <c r="L83" s="516"/>
      <c r="M83" s="516"/>
      <c r="N83" s="467"/>
    </row>
    <row r="84" spans="1:14" s="14" customFormat="1" ht="10" customHeight="1" thickBot="1" x14ac:dyDescent="0.4">
      <c r="A84" s="400"/>
      <c r="B84" s="401"/>
      <c r="C84" s="401"/>
      <c r="D84" s="401"/>
      <c r="E84" s="401"/>
      <c r="F84" s="401"/>
      <c r="G84" s="401"/>
      <c r="H84" s="401"/>
      <c r="I84" s="401"/>
      <c r="J84" s="401"/>
      <c r="K84" s="401"/>
      <c r="L84" s="401"/>
      <c r="M84" s="401"/>
      <c r="N84" s="161"/>
    </row>
    <row r="85" spans="1:14" s="14" customFormat="1" ht="26.5" thickBot="1" x14ac:dyDescent="0.4">
      <c r="A85" s="508" t="s">
        <v>79</v>
      </c>
      <c r="B85" s="509"/>
      <c r="C85" s="509"/>
      <c r="D85" s="509"/>
      <c r="E85" s="509"/>
      <c r="F85" s="509"/>
      <c r="G85" s="509"/>
      <c r="H85" s="509"/>
      <c r="I85" s="509"/>
      <c r="J85" s="509"/>
      <c r="K85" s="510"/>
      <c r="L85" s="390" t="s">
        <v>7</v>
      </c>
      <c r="M85" s="390" t="s">
        <v>8</v>
      </c>
      <c r="N85" s="366"/>
    </row>
    <row r="86" spans="1:14" s="14" customFormat="1" ht="18.5" x14ac:dyDescent="0.35">
      <c r="A86" s="477" t="s">
        <v>80</v>
      </c>
      <c r="B86" s="507"/>
      <c r="C86" s="507"/>
      <c r="D86" s="507"/>
      <c r="E86" s="507"/>
      <c r="F86" s="507"/>
      <c r="G86" s="507"/>
      <c r="H86" s="289"/>
      <c r="I86" s="289"/>
      <c r="J86" s="289"/>
      <c r="K86" s="289"/>
      <c r="L86" s="402" t="s">
        <v>319</v>
      </c>
      <c r="M86" s="97"/>
      <c r="N86" s="403" t="s">
        <v>353</v>
      </c>
    </row>
    <row r="87" spans="1:14" s="14" customFormat="1" ht="19" thickBot="1" x14ac:dyDescent="0.4">
      <c r="A87" s="477" t="s">
        <v>78</v>
      </c>
      <c r="B87" s="507"/>
      <c r="C87" s="507"/>
      <c r="D87" s="507"/>
      <c r="E87" s="507"/>
      <c r="F87" s="507"/>
      <c r="G87" s="507"/>
      <c r="H87" s="289"/>
      <c r="I87" s="289"/>
      <c r="J87" s="289"/>
      <c r="K87" s="289"/>
      <c r="L87" s="97"/>
      <c r="M87" s="97"/>
      <c r="N87" s="403" t="s">
        <v>352</v>
      </c>
    </row>
    <row r="88" spans="1:14" s="14" customFormat="1" ht="26.5" thickBot="1" x14ac:dyDescent="0.4">
      <c r="A88" s="511" t="s">
        <v>288</v>
      </c>
      <c r="B88" s="512"/>
      <c r="C88" s="512"/>
      <c r="D88" s="512"/>
      <c r="E88" s="512"/>
      <c r="F88" s="512"/>
      <c r="G88" s="512"/>
      <c r="H88" s="512"/>
      <c r="I88" s="512"/>
      <c r="J88" s="512"/>
      <c r="K88" s="513"/>
      <c r="L88" s="399">
        <f>SUM(L86:L87)</f>
        <v>0</v>
      </c>
      <c r="M88" s="399">
        <f>SUM(M86:M87)</f>
        <v>0</v>
      </c>
      <c r="N88" s="353"/>
    </row>
    <row r="89" spans="1:14" ht="26.5" customHeight="1" thickBot="1" x14ac:dyDescent="0.4">
      <c r="A89" s="404"/>
      <c r="B89" s="230"/>
      <c r="C89" s="232"/>
      <c r="D89" s="232"/>
      <c r="E89" s="232"/>
      <c r="F89" s="232"/>
      <c r="G89" s="232"/>
      <c r="H89" s="379"/>
      <c r="I89" s="379"/>
      <c r="J89" s="379"/>
      <c r="K89" s="379"/>
      <c r="L89" s="379"/>
      <c r="M89" s="379"/>
      <c r="N89" s="360"/>
    </row>
    <row r="90" spans="1:14" ht="15" thickBot="1" x14ac:dyDescent="0.4">
      <c r="A90" s="161"/>
      <c r="B90" s="162"/>
      <c r="C90" s="163"/>
      <c r="D90" s="163"/>
      <c r="E90" s="163"/>
      <c r="F90" s="163"/>
      <c r="G90" s="163"/>
      <c r="H90" s="161"/>
      <c r="I90" s="161"/>
      <c r="J90" s="161"/>
      <c r="K90" s="161"/>
      <c r="L90" s="161"/>
      <c r="M90" s="161"/>
      <c r="N90" s="161"/>
    </row>
    <row r="91" spans="1:14" s="23" customFormat="1" ht="26.5" thickBot="1" x14ac:dyDescent="0.4">
      <c r="A91" s="508" t="s">
        <v>315</v>
      </c>
      <c r="B91" s="509"/>
      <c r="C91" s="509"/>
      <c r="D91" s="509"/>
      <c r="E91" s="509"/>
      <c r="F91" s="509"/>
      <c r="G91" s="509"/>
      <c r="H91" s="509"/>
      <c r="I91" s="509"/>
      <c r="J91" s="509"/>
      <c r="K91" s="510"/>
      <c r="L91" s="390" t="s">
        <v>7</v>
      </c>
      <c r="M91" s="390" t="s">
        <v>8</v>
      </c>
      <c r="N91" s="366"/>
    </row>
    <row r="92" spans="1:14" s="23" customFormat="1" ht="19" thickBot="1" x14ac:dyDescent="0.4">
      <c r="A92" s="477" t="s">
        <v>317</v>
      </c>
      <c r="B92" s="507"/>
      <c r="C92" s="507"/>
      <c r="D92" s="507"/>
      <c r="E92" s="507"/>
      <c r="F92" s="507"/>
      <c r="G92" s="507"/>
      <c r="H92" s="289"/>
      <c r="I92" s="289"/>
      <c r="J92" s="289"/>
      <c r="K92" s="289"/>
      <c r="L92" s="97"/>
      <c r="M92" s="97"/>
      <c r="N92" s="403" t="s">
        <v>316</v>
      </c>
    </row>
    <row r="93" spans="1:14" s="23" customFormat="1" ht="26.5" thickBot="1" x14ac:dyDescent="0.4">
      <c r="A93" s="511" t="s">
        <v>288</v>
      </c>
      <c r="B93" s="512"/>
      <c r="C93" s="512"/>
      <c r="D93" s="512"/>
      <c r="E93" s="512"/>
      <c r="F93" s="512"/>
      <c r="G93" s="512"/>
      <c r="H93" s="512"/>
      <c r="I93" s="512"/>
      <c r="J93" s="512"/>
      <c r="K93" s="513"/>
      <c r="L93" s="399">
        <f>SUM(L92:L92)</f>
        <v>0</v>
      </c>
      <c r="M93" s="399">
        <f>SUM(M92:M92)</f>
        <v>0</v>
      </c>
      <c r="N93" s="353"/>
    </row>
    <row r="94" spans="1:14" s="23" customFormat="1" ht="26.5" customHeight="1" thickBot="1" x14ac:dyDescent="0.4">
      <c r="A94" s="404"/>
      <c r="B94" s="230"/>
      <c r="C94" s="232"/>
      <c r="D94" s="232"/>
      <c r="E94" s="232"/>
      <c r="F94" s="232"/>
      <c r="G94" s="232"/>
      <c r="H94" s="379"/>
      <c r="I94" s="379"/>
      <c r="J94" s="379"/>
      <c r="K94" s="379"/>
      <c r="L94" s="379"/>
      <c r="M94" s="379"/>
      <c r="N94" s="360"/>
    </row>
  </sheetData>
  <sheetProtection sheet="1" objects="1" scenarios="1"/>
  <mergeCells count="76">
    <mergeCell ref="A91:K91"/>
    <mergeCell ref="A92:G92"/>
    <mergeCell ref="A93:K93"/>
    <mergeCell ref="A87:G87"/>
    <mergeCell ref="A86:G86"/>
    <mergeCell ref="A88:K88"/>
    <mergeCell ref="A70:G70"/>
    <mergeCell ref="A32:K32"/>
    <mergeCell ref="A71:G71"/>
    <mergeCell ref="A72:G72"/>
    <mergeCell ref="A35:G35"/>
    <mergeCell ref="A43:G43"/>
    <mergeCell ref="A40:G40"/>
    <mergeCell ref="A44:K44"/>
    <mergeCell ref="A41:G41"/>
    <mergeCell ref="A83:N83"/>
    <mergeCell ref="A81:K81"/>
    <mergeCell ref="A80:G80"/>
    <mergeCell ref="A76:K76"/>
    <mergeCell ref="A77:G77"/>
    <mergeCell ref="A85:K85"/>
    <mergeCell ref="I9:J9"/>
    <mergeCell ref="I14:J14"/>
    <mergeCell ref="N19:N22"/>
    <mergeCell ref="A42:G42"/>
    <mergeCell ref="A57:G57"/>
    <mergeCell ref="A54:K54"/>
    <mergeCell ref="A78:G78"/>
    <mergeCell ref="A79:G79"/>
    <mergeCell ref="A67:K67"/>
    <mergeCell ref="A74:K74"/>
    <mergeCell ref="A64:G64"/>
    <mergeCell ref="A47:G47"/>
    <mergeCell ref="A39:K39"/>
    <mergeCell ref="A46:K46"/>
    <mergeCell ref="A36:G36"/>
    <mergeCell ref="A37:K37"/>
    <mergeCell ref="F4:H4"/>
    <mergeCell ref="A19:D19"/>
    <mergeCell ref="I19:J19"/>
    <mergeCell ref="A33:G33"/>
    <mergeCell ref="A34:G34"/>
    <mergeCell ref="A24:D24"/>
    <mergeCell ref="I24:J24"/>
    <mergeCell ref="K24:L24"/>
    <mergeCell ref="A30:N30"/>
    <mergeCell ref="N24:N27"/>
    <mergeCell ref="K19:L19"/>
    <mergeCell ref="A1:N1"/>
    <mergeCell ref="A4:D4"/>
    <mergeCell ref="A6:D6"/>
    <mergeCell ref="A9:D9"/>
    <mergeCell ref="A14:D14"/>
    <mergeCell ref="A3:D3"/>
    <mergeCell ref="I4:J4"/>
    <mergeCell ref="K4:L4"/>
    <mergeCell ref="K9:L9"/>
    <mergeCell ref="K14:L14"/>
    <mergeCell ref="K6:L6"/>
    <mergeCell ref="I6:J6"/>
    <mergeCell ref="A73:G73"/>
    <mergeCell ref="A69:K69"/>
    <mergeCell ref="A48:G48"/>
    <mergeCell ref="A49:G49"/>
    <mergeCell ref="A50:G50"/>
    <mergeCell ref="A59:G59"/>
    <mergeCell ref="A63:G63"/>
    <mergeCell ref="A58:G58"/>
    <mergeCell ref="A62:K62"/>
    <mergeCell ref="A51:G51"/>
    <mergeCell ref="A55:G55"/>
    <mergeCell ref="A56:G56"/>
    <mergeCell ref="A65:G65"/>
    <mergeCell ref="A66:G66"/>
    <mergeCell ref="A52:K52"/>
    <mergeCell ref="A60:K60"/>
  </mergeCells>
  <printOptions horizontalCentered="1"/>
  <pageMargins left="3.937007874015748E-2" right="3.937007874015748E-2" top="0.31" bottom="0.31" header="7.0000000000000007E-2" footer="0.14000000000000001"/>
  <pageSetup paperSize="9" scale="43" firstPageNumber="2" fitToHeight="0" orientation="landscape" useFirstPageNumber="1" r:id="rId1"/>
  <headerFooter>
    <oddHeader xml:space="preserve">&amp;C
</oddHeader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282"/>
  <sheetViews>
    <sheetView zoomScale="60" zoomScaleNormal="60" zoomScalePageLayoutView="60" workbookViewId="0">
      <selection activeCell="K15" sqref="K15"/>
    </sheetView>
  </sheetViews>
  <sheetFormatPr defaultColWidth="9.1796875" defaultRowHeight="14.5" x14ac:dyDescent="0.35"/>
  <cols>
    <col min="1" max="1" width="5" style="3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0.26953125" style="2" customWidth="1"/>
    <col min="8" max="8" width="64.90625" style="3" bestFit="1" customWidth="1"/>
    <col min="9" max="11" width="13.7265625" style="3" customWidth="1"/>
    <col min="12" max="13" width="25.7265625" style="3" customWidth="1"/>
    <col min="14" max="14" width="90.7265625" style="3" customWidth="1"/>
    <col min="15" max="16384" width="9.1796875" style="3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84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L63</f>
        <v>0</v>
      </c>
      <c r="M5" s="170">
        <f>M63</f>
        <v>0</v>
      </c>
      <c r="N5" s="169"/>
    </row>
    <row r="6" spans="1:14" ht="18.5" x14ac:dyDescent="0.35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L78</f>
        <v>0</v>
      </c>
      <c r="M6" s="170">
        <f>M78</f>
        <v>0</v>
      </c>
      <c r="N6" s="169"/>
    </row>
    <row r="7" spans="1:14" ht="19" thickBot="1" x14ac:dyDescent="0.4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L85</f>
        <v>0</v>
      </c>
      <c r="M7" s="170">
        <f>M85</f>
        <v>0</v>
      </c>
      <c r="N7" s="169"/>
    </row>
    <row r="8" spans="1:14" ht="19" hidden="1" thickBot="1" x14ac:dyDescent="0.4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L95</f>
        <v>0</v>
      </c>
      <c r="M8" s="170">
        <f>M95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L102</f>
        <v>0</v>
      </c>
      <c r="M9" s="170">
        <f>M102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160" customFormat="1" ht="15" customHeight="1" thickBot="1" x14ac:dyDescent="0.4">
      <c r="A13" s="406"/>
      <c r="B13" s="407"/>
      <c r="C13" s="408"/>
      <c r="D13" s="408"/>
      <c r="E13" s="253"/>
      <c r="F13" s="409"/>
      <c r="G13" s="409"/>
      <c r="H13" s="409"/>
      <c r="I13" s="409"/>
      <c r="J13" s="409"/>
      <c r="K13" s="409"/>
      <c r="L13" s="409"/>
      <c r="M13" s="409"/>
      <c r="N13" s="409"/>
    </row>
    <row r="14" spans="1:14" ht="18.5" x14ac:dyDescent="0.35">
      <c r="A14" s="523" t="s">
        <v>21</v>
      </c>
      <c r="B14" s="181"/>
      <c r="C14" s="292"/>
      <c r="D14" s="292"/>
      <c r="E14" s="182"/>
      <c r="F14" s="293"/>
      <c r="G14" s="293"/>
      <c r="H14" s="183"/>
      <c r="I14" s="294"/>
      <c r="J14" s="295"/>
      <c r="K14" s="296"/>
      <c r="L14" s="296"/>
      <c r="M14" s="296"/>
      <c r="N14" s="366"/>
    </row>
    <row r="15" spans="1:14" ht="18.75" customHeight="1" x14ac:dyDescent="0.35">
      <c r="A15" s="524"/>
      <c r="B15" s="216"/>
      <c r="C15" s="188" t="s">
        <v>10</v>
      </c>
      <c r="D15" s="188" t="s">
        <v>36</v>
      </c>
      <c r="E15" s="189"/>
      <c r="F15" s="190" t="s">
        <v>91</v>
      </c>
      <c r="G15" s="191" t="s">
        <v>11</v>
      </c>
      <c r="H15" s="192" t="s">
        <v>226</v>
      </c>
      <c r="I15" s="193" t="s">
        <v>4</v>
      </c>
      <c r="J15" s="194">
        <f>(2.1*(0.65+1.2+0.8+1.43))+((0.54+0.056)*4)</f>
        <v>10.952000000000002</v>
      </c>
      <c r="K15" s="98"/>
      <c r="L15" s="195">
        <f>K15*J15</f>
        <v>0</v>
      </c>
      <c r="M15" s="98"/>
      <c r="N15" s="196" t="s">
        <v>292</v>
      </c>
    </row>
    <row r="16" spans="1:14" s="14" customFormat="1" ht="18.75" customHeight="1" x14ac:dyDescent="0.35">
      <c r="A16" s="524"/>
      <c r="B16" s="217"/>
      <c r="C16" s="218"/>
      <c r="D16" s="218"/>
      <c r="E16" s="219"/>
      <c r="F16" s="220"/>
      <c r="G16" s="191"/>
      <c r="H16" s="192" t="s">
        <v>271</v>
      </c>
      <c r="I16" s="193" t="s">
        <v>4</v>
      </c>
      <c r="J16" s="194">
        <f>(2.1*(0.19+0.155))+((0.46+0.495)*0.25)</f>
        <v>0.96324999999999994</v>
      </c>
      <c r="K16" s="100"/>
      <c r="L16" s="195">
        <f>K16*J16</f>
        <v>0</v>
      </c>
      <c r="M16" s="98"/>
      <c r="N16" s="196" t="s">
        <v>292</v>
      </c>
    </row>
    <row r="17" spans="1:14" ht="18.5" x14ac:dyDescent="0.35">
      <c r="A17" s="524"/>
      <c r="B17" s="197"/>
      <c r="C17" s="198"/>
      <c r="D17" s="198"/>
      <c r="E17" s="199"/>
      <c r="F17" s="200"/>
      <c r="G17" s="191"/>
      <c r="H17" s="192"/>
      <c r="I17" s="193"/>
      <c r="J17" s="194"/>
      <c r="K17" s="201"/>
      <c r="L17" s="195"/>
      <c r="M17" s="195"/>
      <c r="N17" s="353"/>
    </row>
    <row r="18" spans="1:14" x14ac:dyDescent="0.35">
      <c r="A18" s="524"/>
      <c r="B18" s="197"/>
      <c r="C18" s="199"/>
      <c r="D18" s="199"/>
      <c r="E18" s="199"/>
      <c r="F18" s="200"/>
      <c r="G18" s="191" t="s">
        <v>12</v>
      </c>
      <c r="H18" s="192" t="s">
        <v>284</v>
      </c>
      <c r="I18" s="193" t="s">
        <v>5</v>
      </c>
      <c r="J18" s="194">
        <f>(2.1*8)+(4*5)+(0.65+1.2+0.8+1.43)*4+(0.46+0.29+0.54+0.34+0.49)</f>
        <v>55.239999999999995</v>
      </c>
      <c r="K18" s="100"/>
      <c r="L18" s="195">
        <f t="shared" ref="L18" si="0">K18*J18</f>
        <v>0</v>
      </c>
      <c r="M18" s="98"/>
      <c r="N18" s="196" t="s">
        <v>144</v>
      </c>
    </row>
    <row r="19" spans="1:14" s="23" customFormat="1" x14ac:dyDescent="0.35">
      <c r="A19" s="524"/>
      <c r="B19" s="197"/>
      <c r="C19" s="199"/>
      <c r="D19" s="199"/>
      <c r="E19" s="199"/>
      <c r="F19" s="200"/>
      <c r="G19" s="191"/>
      <c r="H19" s="192" t="s">
        <v>285</v>
      </c>
      <c r="I19" s="193" t="s">
        <v>5</v>
      </c>
      <c r="J19" s="194">
        <f>1*2.1</f>
        <v>2.1</v>
      </c>
      <c r="K19" s="100"/>
      <c r="L19" s="195">
        <f t="shared" ref="L19" si="1">K19*J19</f>
        <v>0</v>
      </c>
      <c r="M19" s="98"/>
      <c r="N19" s="196"/>
    </row>
    <row r="20" spans="1:14" s="14" customFormat="1" x14ac:dyDescent="0.35">
      <c r="A20" s="524"/>
      <c r="B20" s="197"/>
      <c r="C20" s="199"/>
      <c r="D20" s="199"/>
      <c r="E20" s="199"/>
      <c r="F20" s="200"/>
      <c r="G20" s="191"/>
      <c r="H20" s="192" t="s">
        <v>272</v>
      </c>
      <c r="I20" s="193" t="s">
        <v>5</v>
      </c>
      <c r="J20" s="194">
        <f>(5*0.25+0.46+0.29+0.54+0.34+0.495)</f>
        <v>3.375</v>
      </c>
      <c r="K20" s="100"/>
      <c r="L20" s="195">
        <f t="shared" ref="L20" si="2">K20*J20</f>
        <v>0</v>
      </c>
      <c r="M20" s="98"/>
      <c r="N20" s="196" t="s">
        <v>286</v>
      </c>
    </row>
    <row r="21" spans="1:14" x14ac:dyDescent="0.35">
      <c r="A21" s="524"/>
      <c r="B21" s="197"/>
      <c r="C21" s="199"/>
      <c r="D21" s="199"/>
      <c r="E21" s="199"/>
      <c r="F21" s="200"/>
      <c r="G21" s="191"/>
      <c r="H21" s="192" t="s">
        <v>273</v>
      </c>
      <c r="I21" s="193" t="s">
        <v>4</v>
      </c>
      <c r="J21" s="194">
        <f>(0.25*(0.46+0.495)+(0.056*4)+(0.025*0.25*2)+0.025*0.46+0.025*0.495)</f>
        <v>0.49912500000000004</v>
      </c>
      <c r="K21" s="100"/>
      <c r="L21" s="195">
        <f>K21*J21</f>
        <v>0</v>
      </c>
      <c r="M21" s="98"/>
      <c r="N21" s="196"/>
    </row>
    <row r="22" spans="1:14" x14ac:dyDescent="0.35">
      <c r="A22" s="524"/>
      <c r="B22" s="197"/>
      <c r="C22" s="199"/>
      <c r="D22" s="199"/>
      <c r="E22" s="199"/>
      <c r="F22" s="200"/>
      <c r="G22" s="191"/>
      <c r="H22" s="192"/>
      <c r="I22" s="193"/>
      <c r="J22" s="194"/>
      <c r="K22" s="201"/>
      <c r="L22" s="195"/>
      <c r="M22" s="195"/>
      <c r="N22" s="196"/>
    </row>
    <row r="23" spans="1:14" x14ac:dyDescent="0.35">
      <c r="A23" s="524"/>
      <c r="B23" s="197"/>
      <c r="C23" s="199"/>
      <c r="D23" s="199"/>
      <c r="E23" s="199"/>
      <c r="F23" s="200"/>
      <c r="G23" s="191" t="s">
        <v>13</v>
      </c>
      <c r="H23" s="192" t="s">
        <v>114</v>
      </c>
      <c r="I23" s="193" t="s">
        <v>4</v>
      </c>
      <c r="J23" s="194">
        <f>J15+J16-4*2.1</f>
        <v>3.5152500000000018</v>
      </c>
      <c r="K23" s="100"/>
      <c r="L23" s="195">
        <f>K23*J23</f>
        <v>0</v>
      </c>
      <c r="M23" s="98"/>
      <c r="N23" s="196" t="s">
        <v>256</v>
      </c>
    </row>
    <row r="24" spans="1:14" x14ac:dyDescent="0.35">
      <c r="A24" s="524"/>
      <c r="B24" s="197"/>
      <c r="C24" s="199"/>
      <c r="D24" s="199"/>
      <c r="E24" s="199"/>
      <c r="F24" s="200"/>
      <c r="G24" s="191"/>
      <c r="H24" s="192" t="s">
        <v>65</v>
      </c>
      <c r="I24" s="193" t="s">
        <v>4</v>
      </c>
      <c r="J24" s="194">
        <f>J15+J16</f>
        <v>11.915250000000002</v>
      </c>
      <c r="K24" s="98"/>
      <c r="L24" s="195">
        <f>K24*J24</f>
        <v>0</v>
      </c>
      <c r="M24" s="98"/>
      <c r="N24" s="196"/>
    </row>
    <row r="25" spans="1:14" s="14" customFormat="1" x14ac:dyDescent="0.35">
      <c r="A25" s="524"/>
      <c r="B25" s="197"/>
      <c r="C25" s="199"/>
      <c r="D25" s="199"/>
      <c r="E25" s="199"/>
      <c r="F25" s="200"/>
      <c r="G25" s="191"/>
      <c r="H25" s="192"/>
      <c r="I25" s="193"/>
      <c r="J25" s="194"/>
      <c r="K25" s="195"/>
      <c r="L25" s="195"/>
      <c r="M25" s="195"/>
      <c r="N25" s="196"/>
    </row>
    <row r="26" spans="1:14" s="14" customFormat="1" ht="29" x14ac:dyDescent="0.35">
      <c r="A26" s="524"/>
      <c r="B26" s="197"/>
      <c r="C26" s="199"/>
      <c r="D26" s="199"/>
      <c r="E26" s="199"/>
      <c r="F26" s="200"/>
      <c r="G26" s="191" t="s">
        <v>14</v>
      </c>
      <c r="H26" s="192" t="s">
        <v>274</v>
      </c>
      <c r="I26" s="193" t="s">
        <v>4</v>
      </c>
      <c r="J26" s="194">
        <f>(0.25*4+1.7)</f>
        <v>2.7</v>
      </c>
      <c r="K26" s="98"/>
      <c r="L26" s="195">
        <f t="shared" ref="L26" si="3">K26*J26</f>
        <v>0</v>
      </c>
      <c r="M26" s="98"/>
      <c r="N26" s="410" t="s">
        <v>346</v>
      </c>
    </row>
    <row r="27" spans="1:14" s="14" customFormat="1" x14ac:dyDescent="0.35">
      <c r="A27" s="524"/>
      <c r="B27" s="197"/>
      <c r="C27" s="199"/>
      <c r="D27" s="199"/>
      <c r="E27" s="199"/>
      <c r="F27" s="200"/>
      <c r="G27" s="191"/>
      <c r="H27" s="192"/>
      <c r="I27" s="193"/>
      <c r="J27" s="194"/>
      <c r="K27" s="201"/>
      <c r="L27" s="195"/>
      <c r="M27" s="195"/>
      <c r="N27" s="196"/>
    </row>
    <row r="28" spans="1:14" s="14" customFormat="1" x14ac:dyDescent="0.35">
      <c r="A28" s="524"/>
      <c r="B28" s="197"/>
      <c r="C28" s="199"/>
      <c r="D28" s="199"/>
      <c r="E28" s="199"/>
      <c r="F28" s="200"/>
      <c r="G28" s="200" t="s">
        <v>17</v>
      </c>
      <c r="H28" s="192" t="s">
        <v>227</v>
      </c>
      <c r="I28" s="193" t="s">
        <v>6</v>
      </c>
      <c r="J28" s="194">
        <v>5</v>
      </c>
      <c r="K28" s="98"/>
      <c r="L28" s="195">
        <f t="shared" ref="L28" si="4">K28*J28</f>
        <v>0</v>
      </c>
      <c r="M28" s="98"/>
      <c r="N28" s="196"/>
    </row>
    <row r="29" spans="1:14" s="14" customFormat="1" x14ac:dyDescent="0.35">
      <c r="A29" s="524"/>
      <c r="B29" s="197"/>
      <c r="C29" s="199"/>
      <c r="D29" s="199"/>
      <c r="E29" s="199"/>
      <c r="F29" s="200"/>
      <c r="G29" s="200"/>
      <c r="H29" s="192" t="s">
        <v>265</v>
      </c>
      <c r="I29" s="193" t="s">
        <v>5</v>
      </c>
      <c r="J29" s="194">
        <v>5</v>
      </c>
      <c r="K29" s="98"/>
      <c r="L29" s="195">
        <f t="shared" ref="L29" si="5">K29*J29</f>
        <v>0</v>
      </c>
      <c r="M29" s="98"/>
      <c r="N29" s="196"/>
    </row>
    <row r="30" spans="1:14" x14ac:dyDescent="0.35">
      <c r="A30" s="524"/>
      <c r="B30" s="197"/>
      <c r="C30" s="199"/>
      <c r="D30" s="199"/>
      <c r="E30" s="199"/>
      <c r="F30" s="200"/>
      <c r="G30" s="200"/>
      <c r="H30" s="192"/>
      <c r="I30" s="193"/>
      <c r="J30" s="194"/>
      <c r="K30" s="201"/>
      <c r="L30" s="195"/>
      <c r="M30" s="195"/>
      <c r="N30" s="196"/>
    </row>
    <row r="31" spans="1:14" ht="15.5" x14ac:dyDescent="0.35">
      <c r="A31" s="524"/>
      <c r="B31" s="202"/>
      <c r="C31" s="203"/>
      <c r="D31" s="203"/>
      <c r="E31" s="203"/>
      <c r="F31" s="411"/>
      <c r="G31" s="412"/>
      <c r="H31" s="206" t="s">
        <v>211</v>
      </c>
      <c r="I31" s="413"/>
      <c r="J31" s="414"/>
      <c r="K31" s="415"/>
      <c r="L31" s="416">
        <f>SUM(L15:L29)</f>
        <v>0</v>
      </c>
      <c r="M31" s="416">
        <f>SUM(M15:M29)</f>
        <v>0</v>
      </c>
      <c r="N31" s="211"/>
    </row>
    <row r="32" spans="1:14" ht="58" x14ac:dyDescent="0.35">
      <c r="A32" s="524"/>
      <c r="B32" s="197"/>
      <c r="C32" s="199"/>
      <c r="D32" s="199"/>
      <c r="E32" s="199"/>
      <c r="F32" s="212"/>
      <c r="G32" s="212"/>
      <c r="H32" s="417" t="s">
        <v>348</v>
      </c>
      <c r="I32" s="213"/>
      <c r="J32" s="214"/>
      <c r="K32" s="215"/>
      <c r="L32" s="213"/>
      <c r="M32" s="213"/>
      <c r="N32" s="196"/>
    </row>
    <row r="33" spans="1:14" ht="18.5" x14ac:dyDescent="0.35">
      <c r="A33" s="524"/>
      <c r="B33" s="216"/>
      <c r="C33" s="188" t="s">
        <v>10</v>
      </c>
      <c r="D33" s="188" t="s">
        <v>37</v>
      </c>
      <c r="E33" s="189"/>
      <c r="F33" s="190" t="s">
        <v>92</v>
      </c>
      <c r="G33" s="191" t="s">
        <v>11</v>
      </c>
      <c r="H33" s="192" t="s">
        <v>226</v>
      </c>
      <c r="I33" s="193" t="s">
        <v>4</v>
      </c>
      <c r="J33" s="194">
        <f>(2.1*(4+0.15+0.15))+1.7*(0.105*2)+2*0.105*0.142</f>
        <v>9.4168200000000013</v>
      </c>
      <c r="K33" s="98"/>
      <c r="L33" s="195">
        <f>K33*J33</f>
        <v>0</v>
      </c>
      <c r="M33" s="98"/>
      <c r="N33" s="196" t="s">
        <v>292</v>
      </c>
    </row>
    <row r="34" spans="1:14" ht="18.5" x14ac:dyDescent="0.35">
      <c r="A34" s="524"/>
      <c r="B34" s="197"/>
      <c r="C34" s="198"/>
      <c r="D34" s="198"/>
      <c r="E34" s="199"/>
      <c r="F34" s="200"/>
      <c r="G34" s="191"/>
      <c r="H34" s="192"/>
      <c r="I34" s="193"/>
      <c r="J34" s="194"/>
      <c r="K34" s="201"/>
      <c r="L34" s="195"/>
      <c r="M34" s="195"/>
      <c r="N34" s="196"/>
    </row>
    <row r="35" spans="1:14" x14ac:dyDescent="0.35">
      <c r="A35" s="524"/>
      <c r="B35" s="197"/>
      <c r="C35" s="199"/>
      <c r="D35" s="199"/>
      <c r="E35" s="199"/>
      <c r="F35" s="200"/>
      <c r="G35" s="191" t="s">
        <v>12</v>
      </c>
      <c r="H35" s="192" t="s">
        <v>284</v>
      </c>
      <c r="I35" s="193" t="s">
        <v>5</v>
      </c>
      <c r="J35" s="194">
        <f>(17*2.1+2*4)+(0.175*3*2)</f>
        <v>44.75</v>
      </c>
      <c r="K35" s="100"/>
      <c r="L35" s="195">
        <f t="shared" ref="L35" si="6">K35*J35</f>
        <v>0</v>
      </c>
      <c r="M35" s="98"/>
      <c r="N35" s="196" t="s">
        <v>144</v>
      </c>
    </row>
    <row r="36" spans="1:14" s="14" customFormat="1" x14ac:dyDescent="0.35">
      <c r="A36" s="524"/>
      <c r="B36" s="197"/>
      <c r="C36" s="199"/>
      <c r="D36" s="199"/>
      <c r="E36" s="199"/>
      <c r="F36" s="200"/>
      <c r="G36" s="191"/>
      <c r="H36" s="221" t="s">
        <v>275</v>
      </c>
      <c r="I36" s="193" t="s">
        <v>4</v>
      </c>
      <c r="J36" s="194">
        <f>1.7*(0.25+2*0.105+0.142+2*0.003)+(2*0.142*0.2)</f>
        <v>1.0903999999999998</v>
      </c>
      <c r="K36" s="100"/>
      <c r="L36" s="195">
        <f t="shared" ref="L36" si="7">K36*J36</f>
        <v>0</v>
      </c>
      <c r="M36" s="98"/>
      <c r="N36" s="196"/>
    </row>
    <row r="37" spans="1:14" x14ac:dyDescent="0.35">
      <c r="A37" s="524"/>
      <c r="B37" s="197"/>
      <c r="C37" s="199"/>
      <c r="D37" s="199"/>
      <c r="E37" s="199"/>
      <c r="F37" s="200"/>
      <c r="G37" s="191"/>
      <c r="H37" s="192"/>
      <c r="I37" s="193"/>
      <c r="J37" s="194"/>
      <c r="K37" s="195"/>
      <c r="L37" s="195"/>
      <c r="M37" s="195"/>
      <c r="N37" s="196"/>
    </row>
    <row r="38" spans="1:14" x14ac:dyDescent="0.35">
      <c r="A38" s="524"/>
      <c r="B38" s="197"/>
      <c r="C38" s="199"/>
      <c r="D38" s="199"/>
      <c r="E38" s="199"/>
      <c r="F38" s="200"/>
      <c r="G38" s="191" t="s">
        <v>13</v>
      </c>
      <c r="H38" s="192" t="s">
        <v>114</v>
      </c>
      <c r="I38" s="193" t="s">
        <v>4</v>
      </c>
      <c r="J38" s="194">
        <f>2.1*(0.15+0.15+0.05+0.05)+4*(0.05+0.05)+1.7*0.2*6</f>
        <v>3.2800000000000002</v>
      </c>
      <c r="K38" s="100"/>
      <c r="L38" s="195">
        <f t="shared" ref="L38" si="8">K38*J38</f>
        <v>0</v>
      </c>
      <c r="M38" s="98"/>
      <c r="N38" s="196" t="s">
        <v>256</v>
      </c>
    </row>
    <row r="39" spans="1:14" s="14" customFormat="1" x14ac:dyDescent="0.35">
      <c r="A39" s="524"/>
      <c r="B39" s="197"/>
      <c r="C39" s="199"/>
      <c r="D39" s="199"/>
      <c r="E39" s="199"/>
      <c r="F39" s="200"/>
      <c r="G39" s="191"/>
      <c r="H39" s="192" t="s">
        <v>65</v>
      </c>
      <c r="I39" s="193" t="s">
        <v>4</v>
      </c>
      <c r="J39" s="194">
        <f>(2.1*(4+0.15+0.15))</f>
        <v>9.0300000000000011</v>
      </c>
      <c r="K39" s="98"/>
      <c r="L39" s="195">
        <f t="shared" ref="L39" si="9">K39*J39</f>
        <v>0</v>
      </c>
      <c r="M39" s="98"/>
      <c r="N39" s="196"/>
    </row>
    <row r="40" spans="1:14" s="14" customFormat="1" x14ac:dyDescent="0.35">
      <c r="A40" s="524"/>
      <c r="B40" s="197"/>
      <c r="C40" s="199"/>
      <c r="D40" s="199"/>
      <c r="E40" s="199"/>
      <c r="F40" s="200"/>
      <c r="G40" s="191"/>
      <c r="H40" s="192"/>
      <c r="I40" s="193"/>
      <c r="J40" s="194"/>
      <c r="K40" s="195"/>
      <c r="L40" s="195"/>
      <c r="M40" s="195"/>
      <c r="N40" s="196"/>
    </row>
    <row r="41" spans="1:14" s="14" customFormat="1" ht="29" x14ac:dyDescent="0.35">
      <c r="A41" s="524"/>
      <c r="B41" s="197"/>
      <c r="C41" s="199"/>
      <c r="D41" s="199"/>
      <c r="E41" s="199"/>
      <c r="F41" s="200"/>
      <c r="G41" s="191" t="s">
        <v>14</v>
      </c>
      <c r="H41" s="192" t="s">
        <v>93</v>
      </c>
      <c r="I41" s="193" t="s">
        <v>4</v>
      </c>
      <c r="J41" s="194">
        <f>3*((1.7*(0.13+0.2+0.2))+0.13*0.2*2)</f>
        <v>2.859</v>
      </c>
      <c r="K41" s="98"/>
      <c r="L41" s="195">
        <f t="shared" ref="L41" si="10">K41*J41</f>
        <v>0</v>
      </c>
      <c r="M41" s="98"/>
      <c r="N41" s="410" t="s">
        <v>346</v>
      </c>
    </row>
    <row r="42" spans="1:14" s="14" customFormat="1" x14ac:dyDescent="0.35">
      <c r="A42" s="524"/>
      <c r="B42" s="197"/>
      <c r="C42" s="199"/>
      <c r="D42" s="199"/>
      <c r="E42" s="199"/>
      <c r="F42" s="200"/>
      <c r="G42" s="191"/>
      <c r="H42" s="192"/>
      <c r="I42" s="193"/>
      <c r="J42" s="194"/>
      <c r="K42" s="201"/>
      <c r="L42" s="195"/>
      <c r="M42" s="195"/>
      <c r="N42" s="196"/>
    </row>
    <row r="43" spans="1:14" s="14" customFormat="1" x14ac:dyDescent="0.35">
      <c r="A43" s="524"/>
      <c r="B43" s="197"/>
      <c r="C43" s="199"/>
      <c r="D43" s="199"/>
      <c r="E43" s="199"/>
      <c r="F43" s="200"/>
      <c r="G43" s="200" t="s">
        <v>17</v>
      </c>
      <c r="H43" s="192" t="s">
        <v>227</v>
      </c>
      <c r="I43" s="193" t="s">
        <v>6</v>
      </c>
      <c r="J43" s="194">
        <v>4</v>
      </c>
      <c r="K43" s="98"/>
      <c r="L43" s="195">
        <f t="shared" ref="L43:L44" si="11">K43*J43</f>
        <v>0</v>
      </c>
      <c r="M43" s="98"/>
      <c r="N43" s="196"/>
    </row>
    <row r="44" spans="1:14" s="14" customFormat="1" x14ac:dyDescent="0.35">
      <c r="A44" s="524"/>
      <c r="B44" s="197"/>
      <c r="C44" s="199"/>
      <c r="D44" s="199"/>
      <c r="E44" s="199"/>
      <c r="F44" s="200"/>
      <c r="G44" s="200"/>
      <c r="H44" s="192" t="s">
        <v>265</v>
      </c>
      <c r="I44" s="193" t="s">
        <v>5</v>
      </c>
      <c r="J44" s="194">
        <v>4</v>
      </c>
      <c r="K44" s="98"/>
      <c r="L44" s="195">
        <f t="shared" si="11"/>
        <v>0</v>
      </c>
      <c r="M44" s="98"/>
      <c r="N44" s="196"/>
    </row>
    <row r="45" spans="1:14" x14ac:dyDescent="0.35">
      <c r="A45" s="524"/>
      <c r="B45" s="197"/>
      <c r="C45" s="199"/>
      <c r="D45" s="199"/>
      <c r="E45" s="199"/>
      <c r="F45" s="200"/>
      <c r="G45" s="200"/>
      <c r="H45" s="192"/>
      <c r="I45" s="193"/>
      <c r="J45" s="194"/>
      <c r="K45" s="195"/>
      <c r="L45" s="195"/>
      <c r="M45" s="195"/>
      <c r="N45" s="196"/>
    </row>
    <row r="46" spans="1:14" ht="15.5" x14ac:dyDescent="0.35">
      <c r="A46" s="524"/>
      <c r="B46" s="202"/>
      <c r="C46" s="203"/>
      <c r="D46" s="203"/>
      <c r="E46" s="203"/>
      <c r="F46" s="204"/>
      <c r="G46" s="205"/>
      <c r="H46" s="206" t="s">
        <v>211</v>
      </c>
      <c r="I46" s="207"/>
      <c r="J46" s="208"/>
      <c r="K46" s="209"/>
      <c r="L46" s="210">
        <f>SUM(L33:L44)</f>
        <v>0</v>
      </c>
      <c r="M46" s="210">
        <f>SUM(M33:M44)</f>
        <v>0</v>
      </c>
      <c r="N46" s="211"/>
    </row>
    <row r="47" spans="1:14" x14ac:dyDescent="0.35">
      <c r="A47" s="524"/>
      <c r="B47" s="197"/>
      <c r="C47" s="199"/>
      <c r="D47" s="199"/>
      <c r="E47" s="199"/>
      <c r="F47" s="199"/>
      <c r="G47" s="199"/>
      <c r="H47" s="222"/>
      <c r="I47" s="222"/>
      <c r="J47" s="223"/>
      <c r="K47" s="222"/>
      <c r="L47" s="222"/>
      <c r="M47" s="222"/>
      <c r="N47" s="196"/>
    </row>
    <row r="48" spans="1:14" ht="18.5" x14ac:dyDescent="0.35">
      <c r="A48" s="524"/>
      <c r="B48" s="216"/>
      <c r="C48" s="188" t="s">
        <v>10</v>
      </c>
      <c r="D48" s="188" t="s">
        <v>38</v>
      </c>
      <c r="E48" s="189"/>
      <c r="F48" s="190" t="s">
        <v>94</v>
      </c>
      <c r="G48" s="191" t="s">
        <v>11</v>
      </c>
      <c r="H48" s="192" t="s">
        <v>226</v>
      </c>
      <c r="I48" s="193" t="s">
        <v>4</v>
      </c>
      <c r="J48" s="194">
        <f>2*(6*0.7*0.7+0.3*4*0.06)</f>
        <v>6.0239999999999991</v>
      </c>
      <c r="K48" s="98"/>
      <c r="L48" s="195">
        <f t="shared" ref="L48" si="12">K48*J48</f>
        <v>0</v>
      </c>
      <c r="M48" s="98"/>
      <c r="N48" s="196" t="s">
        <v>292</v>
      </c>
    </row>
    <row r="49" spans="1:14" s="23" customFormat="1" ht="18.75" customHeight="1" x14ac:dyDescent="0.35">
      <c r="A49" s="524"/>
      <c r="B49" s="217"/>
      <c r="C49" s="218"/>
      <c r="D49" s="218"/>
      <c r="E49" s="219"/>
      <c r="F49" s="220"/>
      <c r="G49" s="191"/>
      <c r="H49" s="192" t="s">
        <v>232</v>
      </c>
      <c r="I49" s="193" t="s">
        <v>4</v>
      </c>
      <c r="J49" s="194">
        <f>2*(0.7*0.7*2+0.7*0.86*4)</f>
        <v>6.7759999999999998</v>
      </c>
      <c r="K49" s="100"/>
      <c r="L49" s="195">
        <f>K49*J49</f>
        <v>0</v>
      </c>
      <c r="M49" s="98"/>
      <c r="N49" s="196" t="s">
        <v>292</v>
      </c>
    </row>
    <row r="50" spans="1:14" s="14" customFormat="1" ht="18.5" x14ac:dyDescent="0.35">
      <c r="A50" s="524"/>
      <c r="B50" s="217"/>
      <c r="C50" s="218"/>
      <c r="D50" s="218"/>
      <c r="E50" s="219"/>
      <c r="F50" s="220"/>
      <c r="G50" s="191"/>
      <c r="H50" s="192"/>
      <c r="I50" s="193"/>
      <c r="J50" s="194"/>
      <c r="K50" s="195"/>
      <c r="L50" s="195"/>
      <c r="M50" s="195"/>
      <c r="N50" s="196"/>
    </row>
    <row r="51" spans="1:14" s="14" customFormat="1" x14ac:dyDescent="0.35">
      <c r="A51" s="524"/>
      <c r="B51" s="197"/>
      <c r="C51" s="199"/>
      <c r="D51" s="199"/>
      <c r="E51" s="199"/>
      <c r="F51" s="200"/>
      <c r="G51" s="191" t="s">
        <v>12</v>
      </c>
      <c r="H51" s="192" t="s">
        <v>276</v>
      </c>
      <c r="I51" s="193" t="s">
        <v>4</v>
      </c>
      <c r="J51" s="194">
        <f>2*1.4*1.4</f>
        <v>3.9199999999999995</v>
      </c>
      <c r="K51" s="100"/>
      <c r="L51" s="195">
        <f t="shared" ref="L51" si="13">K51*J51</f>
        <v>0</v>
      </c>
      <c r="M51" s="98"/>
      <c r="N51" s="196"/>
    </row>
    <row r="52" spans="1:14" s="14" customFormat="1" x14ac:dyDescent="0.35">
      <c r="A52" s="524"/>
      <c r="B52" s="197"/>
      <c r="C52" s="199"/>
      <c r="D52" s="199"/>
      <c r="E52" s="199"/>
      <c r="F52" s="200"/>
      <c r="G52" s="191"/>
      <c r="H52" s="192"/>
      <c r="I52" s="193"/>
      <c r="J52" s="194"/>
      <c r="K52" s="201"/>
      <c r="L52" s="195"/>
      <c r="M52" s="195"/>
      <c r="N52" s="196"/>
    </row>
    <row r="53" spans="1:14" x14ac:dyDescent="0.35">
      <c r="A53" s="524"/>
      <c r="B53" s="197"/>
      <c r="C53" s="199"/>
      <c r="D53" s="199"/>
      <c r="E53" s="199"/>
      <c r="F53" s="200"/>
      <c r="G53" s="191" t="s">
        <v>13</v>
      </c>
      <c r="H53" s="192" t="s">
        <v>114</v>
      </c>
      <c r="I53" s="193" t="s">
        <v>4</v>
      </c>
      <c r="J53" s="194">
        <f>2*(0.7*0.7*2+0.7*0.86*4+0.3*4*0.06)</f>
        <v>6.92</v>
      </c>
      <c r="K53" s="100"/>
      <c r="L53" s="195">
        <f t="shared" ref="L53:L54" si="14">K53*J53</f>
        <v>0</v>
      </c>
      <c r="M53" s="98"/>
      <c r="N53" s="196" t="s">
        <v>256</v>
      </c>
    </row>
    <row r="54" spans="1:14" s="23" customFormat="1" x14ac:dyDescent="0.35">
      <c r="A54" s="524"/>
      <c r="B54" s="197"/>
      <c r="C54" s="199"/>
      <c r="D54" s="199"/>
      <c r="E54" s="199"/>
      <c r="F54" s="200"/>
      <c r="G54" s="191"/>
      <c r="H54" s="192" t="s">
        <v>65</v>
      </c>
      <c r="I54" s="193" t="s">
        <v>4</v>
      </c>
      <c r="J54" s="194">
        <f>2*(0.7*0.7*2+0.7*0.86*4+0.3*4*0.06)</f>
        <v>6.92</v>
      </c>
      <c r="K54" s="98"/>
      <c r="L54" s="195">
        <f t="shared" si="14"/>
        <v>0</v>
      </c>
      <c r="M54" s="98"/>
      <c r="N54" s="196"/>
    </row>
    <row r="55" spans="1:14" s="23" customFormat="1" x14ac:dyDescent="0.35">
      <c r="A55" s="524"/>
      <c r="B55" s="197"/>
      <c r="C55" s="199"/>
      <c r="D55" s="199"/>
      <c r="E55" s="199"/>
      <c r="F55" s="200"/>
      <c r="G55" s="191"/>
      <c r="H55" s="192"/>
      <c r="I55" s="193"/>
      <c r="J55" s="194"/>
      <c r="K55" s="195"/>
      <c r="L55" s="195"/>
      <c r="M55" s="195"/>
      <c r="N55" s="196"/>
    </row>
    <row r="56" spans="1:14" s="23" customFormat="1" x14ac:dyDescent="0.35">
      <c r="A56" s="524"/>
      <c r="B56" s="197"/>
      <c r="C56" s="199"/>
      <c r="D56" s="199"/>
      <c r="E56" s="199"/>
      <c r="F56" s="200"/>
      <c r="G56" s="191" t="s">
        <v>14</v>
      </c>
      <c r="H56" s="192" t="s">
        <v>277</v>
      </c>
      <c r="I56" s="193" t="s">
        <v>4</v>
      </c>
      <c r="J56" s="194">
        <f>2*5*0.45*0.5</f>
        <v>2.25</v>
      </c>
      <c r="K56" s="100"/>
      <c r="L56" s="195">
        <f t="shared" ref="L56" si="15">K56*J56</f>
        <v>0</v>
      </c>
      <c r="M56" s="98"/>
      <c r="N56" s="196"/>
    </row>
    <row r="57" spans="1:14" s="23" customFormat="1" x14ac:dyDescent="0.35">
      <c r="A57" s="524"/>
      <c r="B57" s="197"/>
      <c r="C57" s="199"/>
      <c r="D57" s="199"/>
      <c r="E57" s="199"/>
      <c r="F57" s="200"/>
      <c r="G57" s="191"/>
      <c r="H57" s="192"/>
      <c r="I57" s="193"/>
      <c r="J57" s="194"/>
      <c r="K57" s="201"/>
      <c r="L57" s="195"/>
      <c r="M57" s="195"/>
      <c r="N57" s="196"/>
    </row>
    <row r="58" spans="1:14" s="14" customFormat="1" x14ac:dyDescent="0.35">
      <c r="A58" s="524"/>
      <c r="B58" s="197"/>
      <c r="C58" s="199"/>
      <c r="D58" s="199"/>
      <c r="E58" s="199"/>
      <c r="F58" s="200"/>
      <c r="G58" s="200" t="s">
        <v>17</v>
      </c>
      <c r="H58" s="192" t="s">
        <v>58</v>
      </c>
      <c r="I58" s="193" t="s">
        <v>6</v>
      </c>
      <c r="J58" s="194">
        <f>2*5</f>
        <v>10</v>
      </c>
      <c r="K58" s="98"/>
      <c r="L58" s="195">
        <f t="shared" ref="L58" si="16">K58*J58</f>
        <v>0</v>
      </c>
      <c r="M58" s="98"/>
      <c r="N58" s="196" t="s">
        <v>224</v>
      </c>
    </row>
    <row r="59" spans="1:14" s="23" customFormat="1" ht="29" x14ac:dyDescent="0.35">
      <c r="A59" s="524"/>
      <c r="B59" s="197"/>
      <c r="C59" s="199"/>
      <c r="D59" s="199"/>
      <c r="E59" s="199"/>
      <c r="F59" s="200"/>
      <c r="G59" s="200"/>
      <c r="H59" s="221" t="s">
        <v>351</v>
      </c>
      <c r="I59" s="193" t="s">
        <v>189</v>
      </c>
      <c r="J59" s="194">
        <f>(0.7*0.7*0.86)*2</f>
        <v>0.84279999999999988</v>
      </c>
      <c r="K59" s="98"/>
      <c r="L59" s="195">
        <f t="shared" ref="L59" si="17">K59*J59</f>
        <v>0</v>
      </c>
      <c r="M59" s="98"/>
      <c r="N59" s="196" t="s">
        <v>326</v>
      </c>
    </row>
    <row r="60" spans="1:14" x14ac:dyDescent="0.35">
      <c r="A60" s="524"/>
      <c r="B60" s="197"/>
      <c r="C60" s="199"/>
      <c r="D60" s="199"/>
      <c r="E60" s="199"/>
      <c r="F60" s="200"/>
      <c r="G60" s="200"/>
      <c r="H60" s="192"/>
      <c r="I60" s="193"/>
      <c r="J60" s="194"/>
      <c r="K60" s="195"/>
      <c r="L60" s="195"/>
      <c r="M60" s="195"/>
      <c r="N60" s="418"/>
    </row>
    <row r="61" spans="1:14" s="8" customFormat="1" ht="15.5" x14ac:dyDescent="0.35">
      <c r="A61" s="524"/>
      <c r="B61" s="202"/>
      <c r="C61" s="203"/>
      <c r="D61" s="203"/>
      <c r="E61" s="203"/>
      <c r="F61" s="204"/>
      <c r="G61" s="419"/>
      <c r="H61" s="206" t="s">
        <v>211</v>
      </c>
      <c r="I61" s="420"/>
      <c r="J61" s="421"/>
      <c r="K61" s="422"/>
      <c r="L61" s="210">
        <f>SUM(L48:L59)</f>
        <v>0</v>
      </c>
      <c r="M61" s="210">
        <f>SUM(M48:M59)</f>
        <v>0</v>
      </c>
      <c r="N61" s="211"/>
    </row>
    <row r="62" spans="1:14" ht="15" thickBot="1" x14ac:dyDescent="0.4">
      <c r="A62" s="524"/>
      <c r="B62" s="197"/>
      <c r="C62" s="199"/>
      <c r="D62" s="199"/>
      <c r="E62" s="199"/>
      <c r="F62" s="199"/>
      <c r="G62" s="199"/>
      <c r="H62" s="222"/>
      <c r="I62" s="222"/>
      <c r="J62" s="223"/>
      <c r="K62" s="222"/>
      <c r="L62" s="222"/>
      <c r="M62" s="222"/>
      <c r="N62" s="196"/>
    </row>
    <row r="63" spans="1:14" ht="19" thickBot="1" x14ac:dyDescent="0.4">
      <c r="A63" s="524"/>
      <c r="B63" s="526" t="s">
        <v>18</v>
      </c>
      <c r="C63" s="527"/>
      <c r="D63" s="527"/>
      <c r="E63" s="527"/>
      <c r="F63" s="527"/>
      <c r="G63" s="224"/>
      <c r="H63" s="224" t="s">
        <v>211</v>
      </c>
      <c r="I63" s="225"/>
      <c r="J63" s="226"/>
      <c r="K63" s="227"/>
      <c r="L63" s="228">
        <f>L31+L46+L61</f>
        <v>0</v>
      </c>
      <c r="M63" s="229">
        <f>M31+M46+M61</f>
        <v>0</v>
      </c>
      <c r="N63" s="196"/>
    </row>
    <row r="64" spans="1:14" ht="19" thickBot="1" x14ac:dyDescent="0.4">
      <c r="A64" s="525"/>
      <c r="B64" s="230"/>
      <c r="C64" s="231"/>
      <c r="D64" s="231"/>
      <c r="E64" s="232"/>
      <c r="F64" s="233"/>
      <c r="G64" s="233"/>
      <c r="H64" s="234"/>
      <c r="I64" s="235"/>
      <c r="J64" s="236"/>
      <c r="K64" s="237"/>
      <c r="L64" s="238"/>
      <c r="M64" s="239"/>
      <c r="N64" s="240"/>
    </row>
    <row r="65" spans="1:14" ht="18.5" x14ac:dyDescent="0.35">
      <c r="A65" s="523" t="s">
        <v>20</v>
      </c>
      <c r="B65" s="181"/>
      <c r="C65" s="292"/>
      <c r="D65" s="292"/>
      <c r="E65" s="182"/>
      <c r="F65" s="293"/>
      <c r="G65" s="293"/>
      <c r="H65" s="183"/>
      <c r="I65" s="294"/>
      <c r="J65" s="295"/>
      <c r="K65" s="296"/>
      <c r="L65" s="296"/>
      <c r="M65" s="296"/>
      <c r="N65" s="186"/>
    </row>
    <row r="66" spans="1:14" ht="18.5" x14ac:dyDescent="0.35">
      <c r="A66" s="524"/>
      <c r="B66" s="216"/>
      <c r="C66" s="188" t="s">
        <v>19</v>
      </c>
      <c r="D66" s="188" t="s">
        <v>36</v>
      </c>
      <c r="E66" s="189"/>
      <c r="F66" s="190" t="s">
        <v>95</v>
      </c>
      <c r="G66" s="191"/>
      <c r="H66" s="192" t="s">
        <v>22</v>
      </c>
      <c r="I66" s="193" t="s">
        <v>4</v>
      </c>
      <c r="J66" s="194">
        <f>4*2.1</f>
        <v>8.4</v>
      </c>
      <c r="K66" s="98"/>
      <c r="L66" s="195">
        <f>K66*J66</f>
        <v>0</v>
      </c>
      <c r="M66" s="98"/>
      <c r="N66" s="196"/>
    </row>
    <row r="67" spans="1:14" x14ac:dyDescent="0.35">
      <c r="A67" s="524"/>
      <c r="B67" s="197"/>
      <c r="C67" s="199"/>
      <c r="D67" s="199"/>
      <c r="E67" s="199"/>
      <c r="F67" s="200"/>
      <c r="G67" s="200"/>
      <c r="H67" s="192"/>
      <c r="I67" s="193"/>
      <c r="J67" s="194"/>
      <c r="K67" s="195"/>
      <c r="L67" s="195"/>
      <c r="M67" s="195"/>
      <c r="N67" s="196"/>
    </row>
    <row r="68" spans="1:14" ht="15.5" x14ac:dyDescent="0.35">
      <c r="A68" s="524"/>
      <c r="B68" s="202"/>
      <c r="C68" s="203"/>
      <c r="D68" s="203"/>
      <c r="E68" s="203"/>
      <c r="F68" s="204"/>
      <c r="G68" s="205"/>
      <c r="H68" s="206" t="s">
        <v>211</v>
      </c>
      <c r="I68" s="207"/>
      <c r="J68" s="208"/>
      <c r="K68" s="209"/>
      <c r="L68" s="210">
        <f>SUM(L66:L66)</f>
        <v>0</v>
      </c>
      <c r="M68" s="210">
        <f>SUM(M66:M66)</f>
        <v>0</v>
      </c>
      <c r="N68" s="211"/>
    </row>
    <row r="69" spans="1:14" x14ac:dyDescent="0.35">
      <c r="A69" s="524"/>
      <c r="B69" s="197"/>
      <c r="C69" s="199"/>
      <c r="D69" s="199"/>
      <c r="E69" s="199"/>
      <c r="F69" s="212"/>
      <c r="G69" s="212"/>
      <c r="H69" s="213"/>
      <c r="I69" s="213"/>
      <c r="J69" s="214"/>
      <c r="K69" s="213"/>
      <c r="L69" s="213"/>
      <c r="M69" s="213"/>
      <c r="N69" s="196"/>
    </row>
    <row r="70" spans="1:14" ht="18.5" x14ac:dyDescent="0.35">
      <c r="A70" s="524"/>
      <c r="B70" s="216"/>
      <c r="C70" s="188" t="s">
        <v>19</v>
      </c>
      <c r="D70" s="188" t="s">
        <v>37</v>
      </c>
      <c r="E70" s="189"/>
      <c r="F70" s="190" t="s">
        <v>96</v>
      </c>
      <c r="G70" s="283"/>
      <c r="H70" s="192" t="s">
        <v>22</v>
      </c>
      <c r="I70" s="193" t="s">
        <v>4</v>
      </c>
      <c r="J70" s="286">
        <f>4*2.1</f>
        <v>8.4</v>
      </c>
      <c r="K70" s="98"/>
      <c r="L70" s="195">
        <f>K70*J70</f>
        <v>0</v>
      </c>
      <c r="M70" s="98"/>
      <c r="N70" s="196"/>
    </row>
    <row r="71" spans="1:14" s="23" customFormat="1" ht="18.5" x14ac:dyDescent="0.35">
      <c r="A71" s="524"/>
      <c r="B71" s="217"/>
      <c r="C71" s="218"/>
      <c r="D71" s="218"/>
      <c r="E71" s="219"/>
      <c r="F71" s="220"/>
      <c r="G71" s="283"/>
      <c r="H71" s="192"/>
      <c r="I71" s="193"/>
      <c r="J71" s="286"/>
      <c r="K71" s="287"/>
      <c r="L71" s="195"/>
      <c r="M71" s="423"/>
      <c r="N71" s="196"/>
    </row>
    <row r="72" spans="1:14" ht="15.5" x14ac:dyDescent="0.35">
      <c r="A72" s="524"/>
      <c r="B72" s="264"/>
      <c r="C72" s="265"/>
      <c r="D72" s="265"/>
      <c r="E72" s="265"/>
      <c r="F72" s="266"/>
      <c r="G72" s="267"/>
      <c r="H72" s="206" t="s">
        <v>211</v>
      </c>
      <c r="I72" s="207"/>
      <c r="J72" s="269"/>
      <c r="K72" s="270"/>
      <c r="L72" s="210">
        <f>SUM(L70:L70)</f>
        <v>0</v>
      </c>
      <c r="M72" s="210">
        <f>SUM(M70:M70)</f>
        <v>0</v>
      </c>
      <c r="N72" s="211"/>
    </row>
    <row r="73" spans="1:14" s="23" customFormat="1" x14ac:dyDescent="0.35">
      <c r="A73" s="524"/>
      <c r="B73" s="197"/>
      <c r="C73" s="199"/>
      <c r="D73" s="199"/>
      <c r="E73" s="199"/>
      <c r="F73" s="212"/>
      <c r="G73" s="212"/>
      <c r="H73" s="213"/>
      <c r="I73" s="213"/>
      <c r="J73" s="214"/>
      <c r="K73" s="213"/>
      <c r="L73" s="213"/>
      <c r="M73" s="213"/>
      <c r="N73" s="196"/>
    </row>
    <row r="74" spans="1:14" s="23" customFormat="1" ht="29" x14ac:dyDescent="0.35">
      <c r="A74" s="524"/>
      <c r="B74" s="216"/>
      <c r="C74" s="188" t="s">
        <v>19</v>
      </c>
      <c r="D74" s="188" t="s">
        <v>38</v>
      </c>
      <c r="E74" s="189"/>
      <c r="F74" s="190" t="s">
        <v>193</v>
      </c>
      <c r="G74" s="191"/>
      <c r="H74" s="424" t="s">
        <v>234</v>
      </c>
      <c r="I74" s="193" t="s">
        <v>6</v>
      </c>
      <c r="J74" s="194">
        <v>50</v>
      </c>
      <c r="K74" s="131"/>
      <c r="L74" s="195">
        <f>K74*J74</f>
        <v>0</v>
      </c>
      <c r="M74" s="98"/>
      <c r="N74" s="196" t="s">
        <v>327</v>
      </c>
    </row>
    <row r="75" spans="1:14" s="23" customFormat="1" x14ac:dyDescent="0.35">
      <c r="A75" s="524"/>
      <c r="B75" s="197"/>
      <c r="C75" s="199"/>
      <c r="D75" s="199"/>
      <c r="E75" s="199"/>
      <c r="F75" s="200"/>
      <c r="G75" s="200"/>
      <c r="H75" s="192"/>
      <c r="I75" s="193"/>
      <c r="J75" s="194"/>
      <c r="K75" s="195"/>
      <c r="L75" s="195"/>
      <c r="M75" s="195"/>
      <c r="N75" s="196"/>
    </row>
    <row r="76" spans="1:14" s="23" customFormat="1" ht="15.5" x14ac:dyDescent="0.35">
      <c r="A76" s="524"/>
      <c r="B76" s="202"/>
      <c r="C76" s="203"/>
      <c r="D76" s="203"/>
      <c r="E76" s="203"/>
      <c r="F76" s="204"/>
      <c r="G76" s="205"/>
      <c r="H76" s="206" t="s">
        <v>211</v>
      </c>
      <c r="I76" s="207"/>
      <c r="J76" s="208"/>
      <c r="K76" s="209"/>
      <c r="L76" s="210">
        <f>SUM(L74)</f>
        <v>0</v>
      </c>
      <c r="M76" s="210">
        <f>SUM(M74)</f>
        <v>0</v>
      </c>
      <c r="N76" s="211"/>
    </row>
    <row r="77" spans="1:14" ht="15" thickBot="1" x14ac:dyDescent="0.4">
      <c r="A77" s="524"/>
      <c r="B77" s="197"/>
      <c r="C77" s="199"/>
      <c r="D77" s="199"/>
      <c r="E77" s="199"/>
      <c r="F77" s="199"/>
      <c r="G77" s="199"/>
      <c r="H77" s="222"/>
      <c r="I77" s="222"/>
      <c r="J77" s="223"/>
      <c r="K77" s="222"/>
      <c r="L77" s="222"/>
      <c r="M77" s="222"/>
      <c r="N77" s="196"/>
    </row>
    <row r="78" spans="1:14" ht="19" thickBot="1" x14ac:dyDescent="0.4">
      <c r="A78" s="524"/>
      <c r="B78" s="526" t="s">
        <v>23</v>
      </c>
      <c r="C78" s="527"/>
      <c r="D78" s="527"/>
      <c r="E78" s="527"/>
      <c r="F78" s="527"/>
      <c r="G78" s="224"/>
      <c r="H78" s="224" t="s">
        <v>211</v>
      </c>
      <c r="I78" s="225"/>
      <c r="J78" s="226"/>
      <c r="K78" s="227"/>
      <c r="L78" s="228">
        <f>L68+L72+L76</f>
        <v>0</v>
      </c>
      <c r="M78" s="229">
        <f>M68+M72+M76</f>
        <v>0</v>
      </c>
      <c r="N78" s="196"/>
    </row>
    <row r="79" spans="1:14" ht="19" thickBot="1" x14ac:dyDescent="0.4">
      <c r="A79" s="525"/>
      <c r="B79" s="230"/>
      <c r="C79" s="231"/>
      <c r="D79" s="231"/>
      <c r="E79" s="232"/>
      <c r="F79" s="233"/>
      <c r="G79" s="233"/>
      <c r="H79" s="234"/>
      <c r="I79" s="235"/>
      <c r="J79" s="236"/>
      <c r="K79" s="237"/>
      <c r="L79" s="238"/>
      <c r="M79" s="239"/>
      <c r="N79" s="240"/>
    </row>
    <row r="80" spans="1:14" ht="18.5" x14ac:dyDescent="0.35">
      <c r="A80" s="523" t="s">
        <v>25</v>
      </c>
      <c r="B80" s="181"/>
      <c r="C80" s="292"/>
      <c r="D80" s="292"/>
      <c r="E80" s="182"/>
      <c r="F80" s="293"/>
      <c r="G80" s="293"/>
      <c r="H80" s="425"/>
      <c r="I80" s="426"/>
      <c r="J80" s="427"/>
      <c r="K80" s="428"/>
      <c r="L80" s="428"/>
      <c r="M80" s="428"/>
      <c r="N80" s="186"/>
    </row>
    <row r="81" spans="1:14" ht="18.5" x14ac:dyDescent="0.35">
      <c r="A81" s="524"/>
      <c r="B81" s="216"/>
      <c r="C81" s="188" t="s">
        <v>26</v>
      </c>
      <c r="D81" s="188" t="s">
        <v>36</v>
      </c>
      <c r="E81" s="189"/>
      <c r="F81" s="190" t="s">
        <v>97</v>
      </c>
      <c r="G81" s="191"/>
      <c r="H81" s="284" t="s">
        <v>333</v>
      </c>
      <c r="I81" s="285" t="s">
        <v>5</v>
      </c>
      <c r="J81" s="286">
        <f>(5*0.25+0.46+0.29+0.54+0.34+0.49)</f>
        <v>3.37</v>
      </c>
      <c r="K81" s="131"/>
      <c r="L81" s="287">
        <f>K81*J81</f>
        <v>0</v>
      </c>
      <c r="M81" s="98"/>
      <c r="N81" s="196"/>
    </row>
    <row r="82" spans="1:14" x14ac:dyDescent="0.35">
      <c r="A82" s="524"/>
      <c r="B82" s="197"/>
      <c r="C82" s="199"/>
      <c r="D82" s="199"/>
      <c r="E82" s="199"/>
      <c r="F82" s="200"/>
      <c r="G82" s="200"/>
      <c r="H82" s="284"/>
      <c r="I82" s="285"/>
      <c r="J82" s="286"/>
      <c r="K82" s="287"/>
      <c r="L82" s="287"/>
      <c r="M82" s="287"/>
      <c r="N82" s="196"/>
    </row>
    <row r="83" spans="1:14" ht="15.5" x14ac:dyDescent="0.35">
      <c r="A83" s="524"/>
      <c r="B83" s="202"/>
      <c r="C83" s="203"/>
      <c r="D83" s="203"/>
      <c r="E83" s="203"/>
      <c r="F83" s="204"/>
      <c r="G83" s="205"/>
      <c r="H83" s="206" t="s">
        <v>211</v>
      </c>
      <c r="I83" s="207"/>
      <c r="J83" s="208"/>
      <c r="K83" s="209"/>
      <c r="L83" s="210">
        <f>SUM(L81:L81)</f>
        <v>0</v>
      </c>
      <c r="M83" s="210">
        <f>SUM(M81:M81)</f>
        <v>0</v>
      </c>
      <c r="N83" s="211"/>
    </row>
    <row r="84" spans="1:14" ht="15" thickBot="1" x14ac:dyDescent="0.4">
      <c r="A84" s="524"/>
      <c r="B84" s="197"/>
      <c r="C84" s="199"/>
      <c r="D84" s="199"/>
      <c r="E84" s="199"/>
      <c r="F84" s="199"/>
      <c r="G84" s="199"/>
      <c r="H84" s="222"/>
      <c r="I84" s="222"/>
      <c r="J84" s="223"/>
      <c r="K84" s="222"/>
      <c r="L84" s="222"/>
      <c r="M84" s="222"/>
      <c r="N84" s="196"/>
    </row>
    <row r="85" spans="1:14" ht="19" thickBot="1" x14ac:dyDescent="0.4">
      <c r="A85" s="524"/>
      <c r="B85" s="526" t="s">
        <v>24</v>
      </c>
      <c r="C85" s="527"/>
      <c r="D85" s="527"/>
      <c r="E85" s="527"/>
      <c r="F85" s="527"/>
      <c r="G85" s="224"/>
      <c r="H85" s="224" t="s">
        <v>211</v>
      </c>
      <c r="I85" s="225"/>
      <c r="J85" s="226"/>
      <c r="K85" s="227"/>
      <c r="L85" s="228">
        <f>L83</f>
        <v>0</v>
      </c>
      <c r="M85" s="229">
        <f>M83</f>
        <v>0</v>
      </c>
      <c r="N85" s="196"/>
    </row>
    <row r="86" spans="1:14" ht="19" thickBot="1" x14ac:dyDescent="0.4">
      <c r="A86" s="525"/>
      <c r="B86" s="230"/>
      <c r="C86" s="231"/>
      <c r="D86" s="231"/>
      <c r="E86" s="232"/>
      <c r="F86" s="233"/>
      <c r="G86" s="233"/>
      <c r="H86" s="234"/>
      <c r="I86" s="235"/>
      <c r="J86" s="236"/>
      <c r="K86" s="237"/>
      <c r="L86" s="238"/>
      <c r="M86" s="239"/>
      <c r="N86" s="240"/>
    </row>
    <row r="87" spans="1:14" hidden="1" x14ac:dyDescent="0.35">
      <c r="A87" s="531" t="s">
        <v>30</v>
      </c>
      <c r="B87" s="39"/>
      <c r="C87" s="41"/>
      <c r="D87" s="41"/>
      <c r="E87" s="41"/>
      <c r="F87" s="121"/>
      <c r="G87" s="121"/>
      <c r="H87" s="122"/>
      <c r="I87" s="122"/>
      <c r="J87" s="123"/>
      <c r="K87" s="122"/>
      <c r="L87" s="122"/>
      <c r="M87" s="122"/>
      <c r="N87" s="78"/>
    </row>
    <row r="88" spans="1:14" ht="31" hidden="1" x14ac:dyDescent="0.35">
      <c r="A88" s="536"/>
      <c r="B88" s="65"/>
      <c r="C88" s="32" t="s">
        <v>31</v>
      </c>
      <c r="D88" s="32" t="s">
        <v>36</v>
      </c>
      <c r="E88" s="33"/>
      <c r="F88" s="126" t="s">
        <v>201</v>
      </c>
      <c r="G88" s="106"/>
      <c r="H88" s="107"/>
      <c r="I88" s="108" t="s">
        <v>6</v>
      </c>
      <c r="J88" s="109"/>
      <c r="K88" s="101">
        <v>0</v>
      </c>
      <c r="L88" s="101">
        <v>0</v>
      </c>
      <c r="M88" s="101">
        <v>0</v>
      </c>
      <c r="N88" s="110"/>
    </row>
    <row r="89" spans="1:14" s="9" customFormat="1" ht="18.5" hidden="1" x14ac:dyDescent="0.35">
      <c r="A89" s="536"/>
      <c r="B89" s="39"/>
      <c r="C89" s="40"/>
      <c r="D89" s="40"/>
      <c r="E89" s="41"/>
      <c r="F89" s="42"/>
      <c r="G89" s="106"/>
      <c r="H89" s="107"/>
      <c r="I89" s="108"/>
      <c r="J89" s="109"/>
      <c r="K89" s="111"/>
      <c r="L89" s="111"/>
      <c r="M89" s="111"/>
      <c r="N89" s="110"/>
    </row>
    <row r="90" spans="1:14" s="9" customFormat="1" hidden="1" x14ac:dyDescent="0.35">
      <c r="A90" s="536"/>
      <c r="B90" s="39"/>
      <c r="C90" s="41"/>
      <c r="D90" s="41"/>
      <c r="E90" s="41"/>
      <c r="F90" s="112"/>
      <c r="G90" s="112"/>
      <c r="H90" s="107"/>
      <c r="I90" s="108" t="s">
        <v>61</v>
      </c>
      <c r="J90" s="109"/>
      <c r="K90" s="101">
        <v>0</v>
      </c>
      <c r="L90" s="101">
        <v>0</v>
      </c>
      <c r="M90" s="101">
        <v>0</v>
      </c>
      <c r="N90" s="110"/>
    </row>
    <row r="91" spans="1:14" s="9" customFormat="1" hidden="1" x14ac:dyDescent="0.35">
      <c r="A91" s="536"/>
      <c r="B91" s="39"/>
      <c r="C91" s="41"/>
      <c r="D91" s="41"/>
      <c r="E91" s="41"/>
      <c r="F91" s="112"/>
      <c r="G91" s="112"/>
      <c r="H91" s="107"/>
      <c r="I91" s="108" t="s">
        <v>61</v>
      </c>
      <c r="J91" s="109"/>
      <c r="K91" s="101">
        <v>0</v>
      </c>
      <c r="L91" s="101">
        <v>0</v>
      </c>
      <c r="M91" s="101">
        <v>0</v>
      </c>
      <c r="N91" s="110"/>
    </row>
    <row r="92" spans="1:14" s="8" customFormat="1" ht="18.5" hidden="1" x14ac:dyDescent="0.35">
      <c r="A92" s="536"/>
      <c r="B92" s="39"/>
      <c r="C92" s="40"/>
      <c r="D92" s="40"/>
      <c r="E92" s="41"/>
      <c r="F92" s="42"/>
      <c r="G92" s="106"/>
      <c r="H92" s="107"/>
      <c r="I92" s="108"/>
      <c r="J92" s="109"/>
      <c r="K92" s="111"/>
      <c r="L92" s="105"/>
      <c r="M92" s="111"/>
      <c r="N92" s="110"/>
    </row>
    <row r="93" spans="1:14" ht="15.5" hidden="1" x14ac:dyDescent="0.35">
      <c r="A93" s="536"/>
      <c r="B93" s="113"/>
      <c r="C93" s="114"/>
      <c r="D93" s="114"/>
      <c r="E93" s="114"/>
      <c r="F93" s="115"/>
      <c r="G93" s="116"/>
      <c r="H93" s="117" t="s">
        <v>211</v>
      </c>
      <c r="I93" s="118"/>
      <c r="J93" s="119"/>
      <c r="K93" s="120"/>
      <c r="L93" s="86">
        <f>SUM(L88:L91)</f>
        <v>0</v>
      </c>
      <c r="M93" s="86">
        <f>SUM(M88:M91)</f>
        <v>0</v>
      </c>
      <c r="N93" s="129"/>
    </row>
    <row r="94" spans="1:14" hidden="1" x14ac:dyDescent="0.35">
      <c r="A94" s="536"/>
      <c r="B94" s="66"/>
      <c r="C94" s="67"/>
      <c r="D94" s="67"/>
      <c r="E94" s="67"/>
      <c r="F94" s="67"/>
      <c r="G94" s="67"/>
      <c r="H94" s="69"/>
      <c r="I94" s="69"/>
      <c r="J94" s="70"/>
      <c r="K94" s="69"/>
      <c r="L94" s="69"/>
      <c r="M94" s="69"/>
      <c r="N94" s="78"/>
    </row>
    <row r="95" spans="1:14" ht="19" hidden="1" thickBot="1" x14ac:dyDescent="0.4">
      <c r="A95" s="536"/>
      <c r="B95" s="534" t="s">
        <v>28</v>
      </c>
      <c r="C95" s="535"/>
      <c r="D95" s="535"/>
      <c r="E95" s="535"/>
      <c r="F95" s="535"/>
      <c r="G95" s="55"/>
      <c r="H95" s="102" t="s">
        <v>211</v>
      </c>
      <c r="I95" s="56"/>
      <c r="J95" s="57"/>
      <c r="K95" s="87"/>
      <c r="L95" s="88">
        <f>L93</f>
        <v>0</v>
      </c>
      <c r="M95" s="89">
        <f>M93</f>
        <v>0</v>
      </c>
      <c r="N95" s="78" t="s">
        <v>62</v>
      </c>
    </row>
    <row r="96" spans="1:14" ht="19" hidden="1" thickBot="1" x14ac:dyDescent="0.4">
      <c r="A96" s="537"/>
      <c r="B96" s="71"/>
      <c r="C96" s="72"/>
      <c r="D96" s="72"/>
      <c r="E96" s="73"/>
      <c r="F96" s="74"/>
      <c r="G96" s="74"/>
      <c r="H96" s="75"/>
      <c r="I96" s="76"/>
      <c r="J96" s="77"/>
      <c r="K96" s="92"/>
      <c r="L96" s="91"/>
      <c r="M96" s="76"/>
      <c r="N96" s="79"/>
    </row>
    <row r="97" spans="1:14" ht="18.5" hidden="1" x14ac:dyDescent="0.35">
      <c r="A97" s="531" t="s">
        <v>32</v>
      </c>
      <c r="B97" s="43"/>
      <c r="C97" s="44"/>
      <c r="D97" s="44"/>
      <c r="E97" s="45"/>
      <c r="F97" s="46"/>
      <c r="G97" s="46"/>
      <c r="H97" s="53"/>
      <c r="I97" s="37"/>
      <c r="J97" s="38"/>
      <c r="K97" s="84"/>
      <c r="L97" s="84"/>
      <c r="M97" s="84"/>
      <c r="N97" s="80"/>
    </row>
    <row r="98" spans="1:14" ht="18.75" hidden="1" customHeight="1" x14ac:dyDescent="0.35">
      <c r="A98" s="532"/>
      <c r="B98" s="65"/>
      <c r="C98" s="32" t="s">
        <v>33</v>
      </c>
      <c r="D98" s="32" t="s">
        <v>36</v>
      </c>
      <c r="E98" s="33"/>
      <c r="F98" s="34" t="s">
        <v>200</v>
      </c>
      <c r="G98" s="35"/>
      <c r="H98" s="36"/>
      <c r="I98" s="37" t="s">
        <v>6</v>
      </c>
      <c r="J98" s="38">
        <v>1</v>
      </c>
      <c r="K98" s="82">
        <v>0</v>
      </c>
      <c r="L98" s="82">
        <f>K98*J98</f>
        <v>0</v>
      </c>
      <c r="M98" s="82">
        <v>0</v>
      </c>
      <c r="N98" s="78"/>
    </row>
    <row r="99" spans="1:14" hidden="1" x14ac:dyDescent="0.35">
      <c r="A99" s="532"/>
      <c r="B99" s="43"/>
      <c r="C99" s="45"/>
      <c r="D99" s="45"/>
      <c r="E99" s="45"/>
      <c r="F99" s="46"/>
      <c r="G99" s="46"/>
      <c r="H99" s="36"/>
      <c r="I99" s="37"/>
      <c r="J99" s="38"/>
      <c r="K99" s="84"/>
      <c r="L99" s="84"/>
      <c r="M99" s="84"/>
      <c r="N99" s="78"/>
    </row>
    <row r="100" spans="1:14" ht="15.5" hidden="1" x14ac:dyDescent="0.35">
      <c r="A100" s="532"/>
      <c r="B100" s="47"/>
      <c r="C100" s="48"/>
      <c r="D100" s="48"/>
      <c r="E100" s="48"/>
      <c r="F100" s="49"/>
      <c r="G100" s="50"/>
      <c r="H100" s="117" t="s">
        <v>211</v>
      </c>
      <c r="I100" s="51"/>
      <c r="J100" s="52"/>
      <c r="K100" s="85"/>
      <c r="L100" s="86">
        <f>SUM(L98:L98)</f>
        <v>0</v>
      </c>
      <c r="M100" s="86">
        <f>SUM(M98:M98)</f>
        <v>0</v>
      </c>
      <c r="N100" s="128"/>
    </row>
    <row r="101" spans="1:14" hidden="1" x14ac:dyDescent="0.35">
      <c r="A101" s="532"/>
      <c r="B101" s="43"/>
      <c r="C101" s="45"/>
      <c r="D101" s="45"/>
      <c r="E101" s="45"/>
      <c r="F101" s="45"/>
      <c r="G101" s="45"/>
      <c r="H101" s="53"/>
      <c r="I101" s="53"/>
      <c r="J101" s="54"/>
      <c r="K101" s="53"/>
      <c r="L101" s="53"/>
      <c r="M101" s="53"/>
      <c r="N101" s="78"/>
    </row>
    <row r="102" spans="1:14" ht="21.5" hidden="1" thickBot="1" x14ac:dyDescent="0.4">
      <c r="A102" s="532"/>
      <c r="B102" s="534" t="s">
        <v>29</v>
      </c>
      <c r="C102" s="535"/>
      <c r="D102" s="535"/>
      <c r="E102" s="535"/>
      <c r="F102" s="535"/>
      <c r="G102" s="55"/>
      <c r="H102" s="102" t="s">
        <v>211</v>
      </c>
      <c r="I102" s="56"/>
      <c r="J102" s="57"/>
      <c r="K102" s="87"/>
      <c r="L102" s="88">
        <f>L100</f>
        <v>0</v>
      </c>
      <c r="M102" s="89">
        <f>M100</f>
        <v>0</v>
      </c>
      <c r="N102" s="81"/>
    </row>
    <row r="103" spans="1:14" ht="19" hidden="1" thickBot="1" x14ac:dyDescent="0.4">
      <c r="A103" s="533"/>
      <c r="B103" s="58"/>
      <c r="C103" s="59"/>
      <c r="D103" s="59"/>
      <c r="E103" s="60"/>
      <c r="F103" s="61"/>
      <c r="G103" s="61"/>
      <c r="H103" s="62"/>
      <c r="I103" s="63"/>
      <c r="J103" s="64"/>
      <c r="K103" s="90"/>
      <c r="L103" s="91"/>
      <c r="M103" s="76"/>
      <c r="N103" s="79"/>
    </row>
    <row r="104" spans="1:14" x14ac:dyDescent="0.35">
      <c r="A104" s="5"/>
      <c r="J104" s="12"/>
    </row>
    <row r="105" spans="1:14" x14ac:dyDescent="0.35">
      <c r="A105" s="5"/>
      <c r="J105" s="12"/>
    </row>
    <row r="106" spans="1:14" x14ac:dyDescent="0.35">
      <c r="A106" s="5"/>
      <c r="J106" s="12"/>
    </row>
    <row r="107" spans="1:14" x14ac:dyDescent="0.35">
      <c r="A107" s="5"/>
      <c r="J107" s="12"/>
    </row>
    <row r="108" spans="1:14" x14ac:dyDescent="0.35">
      <c r="A108" s="5"/>
      <c r="J108" s="12"/>
    </row>
    <row r="109" spans="1:14" x14ac:dyDescent="0.35">
      <c r="A109" s="5"/>
      <c r="J109" s="12"/>
    </row>
    <row r="110" spans="1:14" x14ac:dyDescent="0.35">
      <c r="A110" s="5"/>
      <c r="J110" s="12"/>
    </row>
    <row r="111" spans="1:14" x14ac:dyDescent="0.35">
      <c r="A111" s="5"/>
      <c r="J111" s="12"/>
    </row>
    <row r="112" spans="1:14" x14ac:dyDescent="0.35">
      <c r="A112" s="5"/>
      <c r="J112" s="12"/>
    </row>
    <row r="113" spans="1:10" x14ac:dyDescent="0.35">
      <c r="A113" s="5"/>
      <c r="J113" s="12"/>
    </row>
    <row r="114" spans="1:10" x14ac:dyDescent="0.35">
      <c r="A114" s="5"/>
      <c r="J114" s="12"/>
    </row>
    <row r="115" spans="1:10" x14ac:dyDescent="0.35">
      <c r="A115" s="5"/>
      <c r="J115" s="12"/>
    </row>
    <row r="116" spans="1:10" x14ac:dyDescent="0.35">
      <c r="A116" s="5"/>
      <c r="J116" s="12"/>
    </row>
    <row r="117" spans="1:10" x14ac:dyDescent="0.35">
      <c r="A117" s="5"/>
      <c r="J117" s="12"/>
    </row>
    <row r="118" spans="1:10" x14ac:dyDescent="0.35">
      <c r="A118" s="5"/>
      <c r="J118" s="12"/>
    </row>
    <row r="119" spans="1:10" x14ac:dyDescent="0.35">
      <c r="A119" s="5"/>
      <c r="J119" s="12"/>
    </row>
    <row r="120" spans="1:10" x14ac:dyDescent="0.35">
      <c r="A120" s="5"/>
      <c r="J120" s="12"/>
    </row>
    <row r="121" spans="1:10" x14ac:dyDescent="0.35">
      <c r="A121" s="5"/>
      <c r="J121" s="12"/>
    </row>
    <row r="122" spans="1:10" x14ac:dyDescent="0.35">
      <c r="A122" s="5"/>
      <c r="J122" s="12"/>
    </row>
    <row r="123" spans="1:10" x14ac:dyDescent="0.35">
      <c r="A123" s="5"/>
      <c r="J123" s="12"/>
    </row>
    <row r="124" spans="1:10" x14ac:dyDescent="0.35">
      <c r="A124" s="5"/>
      <c r="J124" s="12"/>
    </row>
    <row r="125" spans="1:10" x14ac:dyDescent="0.35">
      <c r="A125" s="5"/>
      <c r="J125" s="12"/>
    </row>
    <row r="126" spans="1:10" x14ac:dyDescent="0.35">
      <c r="A126" s="5"/>
      <c r="J126" s="12"/>
    </row>
    <row r="127" spans="1:10" x14ac:dyDescent="0.35">
      <c r="A127" s="5"/>
      <c r="J127" s="12"/>
    </row>
    <row r="128" spans="1:10" x14ac:dyDescent="0.35">
      <c r="A128" s="5"/>
      <c r="J128" s="12"/>
    </row>
    <row r="129" spans="1:10" x14ac:dyDescent="0.35">
      <c r="A129" s="5"/>
      <c r="J129" s="12"/>
    </row>
    <row r="130" spans="1:10" x14ac:dyDescent="0.35">
      <c r="A130" s="5"/>
      <c r="J130" s="12"/>
    </row>
    <row r="131" spans="1:10" x14ac:dyDescent="0.35">
      <c r="A131" s="5"/>
      <c r="J131" s="12"/>
    </row>
    <row r="132" spans="1:10" x14ac:dyDescent="0.35">
      <c r="A132" s="5"/>
      <c r="J132" s="12"/>
    </row>
    <row r="133" spans="1:10" x14ac:dyDescent="0.35">
      <c r="A133" s="5"/>
      <c r="J133" s="12"/>
    </row>
    <row r="134" spans="1:10" x14ac:dyDescent="0.35">
      <c r="A134" s="5"/>
      <c r="J134" s="12"/>
    </row>
    <row r="135" spans="1:10" x14ac:dyDescent="0.35">
      <c r="A135" s="5"/>
      <c r="J135" s="12"/>
    </row>
    <row r="136" spans="1:10" x14ac:dyDescent="0.35">
      <c r="A136" s="5"/>
      <c r="J136" s="12"/>
    </row>
    <row r="137" spans="1:10" x14ac:dyDescent="0.35">
      <c r="A137" s="5"/>
      <c r="J137" s="12"/>
    </row>
    <row r="138" spans="1:10" x14ac:dyDescent="0.35">
      <c r="A138" s="5"/>
      <c r="J138" s="12"/>
    </row>
    <row r="139" spans="1:10" x14ac:dyDescent="0.35">
      <c r="A139" s="5"/>
      <c r="J139" s="12"/>
    </row>
    <row r="140" spans="1:10" x14ac:dyDescent="0.35">
      <c r="J140" s="12"/>
    </row>
    <row r="141" spans="1:10" x14ac:dyDescent="0.35">
      <c r="J141" s="12"/>
    </row>
    <row r="142" spans="1:10" x14ac:dyDescent="0.35">
      <c r="J142" s="12"/>
    </row>
    <row r="143" spans="1:10" x14ac:dyDescent="0.35">
      <c r="J143" s="12"/>
    </row>
    <row r="144" spans="1:10" x14ac:dyDescent="0.35">
      <c r="J144" s="12"/>
    </row>
    <row r="145" spans="10:10" x14ac:dyDescent="0.35">
      <c r="J145" s="12"/>
    </row>
    <row r="146" spans="10:10" x14ac:dyDescent="0.35">
      <c r="J146" s="12"/>
    </row>
    <row r="147" spans="10:10" x14ac:dyDescent="0.35">
      <c r="J147" s="12"/>
    </row>
    <row r="148" spans="10:10" x14ac:dyDescent="0.35">
      <c r="J148" s="12"/>
    </row>
    <row r="149" spans="10:10" x14ac:dyDescent="0.35">
      <c r="J149" s="12"/>
    </row>
    <row r="150" spans="10:10" x14ac:dyDescent="0.35">
      <c r="J150" s="12"/>
    </row>
    <row r="151" spans="10:10" x14ac:dyDescent="0.35">
      <c r="J151" s="12"/>
    </row>
    <row r="152" spans="10:10" x14ac:dyDescent="0.35">
      <c r="J152" s="12"/>
    </row>
    <row r="153" spans="10:10" x14ac:dyDescent="0.35">
      <c r="J153" s="12"/>
    </row>
    <row r="154" spans="10:10" x14ac:dyDescent="0.35">
      <c r="J154" s="12"/>
    </row>
    <row r="155" spans="10:10" x14ac:dyDescent="0.35">
      <c r="J155" s="12"/>
    </row>
    <row r="156" spans="10:10" x14ac:dyDescent="0.35">
      <c r="J156" s="12"/>
    </row>
    <row r="157" spans="10:10" x14ac:dyDescent="0.35">
      <c r="J157" s="12"/>
    </row>
    <row r="158" spans="10:10" x14ac:dyDescent="0.35">
      <c r="J158" s="12"/>
    </row>
    <row r="159" spans="10:10" x14ac:dyDescent="0.35">
      <c r="J159" s="12"/>
    </row>
    <row r="160" spans="10:10" x14ac:dyDescent="0.35">
      <c r="J160" s="12"/>
    </row>
    <row r="161" spans="10:10" x14ac:dyDescent="0.35">
      <c r="J161" s="12"/>
    </row>
    <row r="162" spans="10:10" x14ac:dyDescent="0.35">
      <c r="J162" s="12"/>
    </row>
    <row r="163" spans="10:10" x14ac:dyDescent="0.35">
      <c r="J163" s="12"/>
    </row>
    <row r="164" spans="10:10" x14ac:dyDescent="0.35">
      <c r="J164" s="12"/>
    </row>
    <row r="165" spans="10:10" x14ac:dyDescent="0.35">
      <c r="J165" s="12"/>
    </row>
    <row r="166" spans="10:10" x14ac:dyDescent="0.35">
      <c r="J166" s="12"/>
    </row>
    <row r="167" spans="10:10" x14ac:dyDescent="0.35">
      <c r="J167" s="12"/>
    </row>
    <row r="168" spans="10:10" x14ac:dyDescent="0.35">
      <c r="J168" s="12"/>
    </row>
    <row r="169" spans="10:10" x14ac:dyDescent="0.35">
      <c r="J169" s="12"/>
    </row>
    <row r="170" spans="10:10" x14ac:dyDescent="0.35">
      <c r="J170" s="12"/>
    </row>
    <row r="171" spans="10:10" x14ac:dyDescent="0.35">
      <c r="J171" s="12"/>
    </row>
    <row r="172" spans="10:10" x14ac:dyDescent="0.35">
      <c r="J172" s="12"/>
    </row>
    <row r="173" spans="10:10" x14ac:dyDescent="0.35">
      <c r="J173" s="12"/>
    </row>
    <row r="174" spans="10:10" x14ac:dyDescent="0.35">
      <c r="J174" s="12"/>
    </row>
    <row r="175" spans="10:10" x14ac:dyDescent="0.35">
      <c r="J175" s="12"/>
    </row>
    <row r="176" spans="10:10" x14ac:dyDescent="0.35">
      <c r="J176" s="12"/>
    </row>
    <row r="177" spans="10:10" x14ac:dyDescent="0.35">
      <c r="J177" s="12"/>
    </row>
    <row r="178" spans="10:10" x14ac:dyDescent="0.35">
      <c r="J178" s="12"/>
    </row>
    <row r="179" spans="10:10" x14ac:dyDescent="0.35">
      <c r="J179" s="12"/>
    </row>
    <row r="180" spans="10:10" x14ac:dyDescent="0.35">
      <c r="J180" s="12"/>
    </row>
    <row r="181" spans="10:10" x14ac:dyDescent="0.35">
      <c r="J181" s="12"/>
    </row>
    <row r="182" spans="10:10" x14ac:dyDescent="0.35">
      <c r="J182" s="12"/>
    </row>
    <row r="183" spans="10:10" x14ac:dyDescent="0.35">
      <c r="J183" s="12"/>
    </row>
    <row r="184" spans="10:10" x14ac:dyDescent="0.35">
      <c r="J184" s="12"/>
    </row>
    <row r="185" spans="10:10" x14ac:dyDescent="0.35">
      <c r="J185" s="12"/>
    </row>
    <row r="186" spans="10:10" x14ac:dyDescent="0.35">
      <c r="J186" s="12"/>
    </row>
    <row r="187" spans="10:10" x14ac:dyDescent="0.35">
      <c r="J187" s="12"/>
    </row>
    <row r="188" spans="10:10" x14ac:dyDescent="0.35">
      <c r="J188" s="12"/>
    </row>
    <row r="189" spans="10:10" x14ac:dyDescent="0.35">
      <c r="J189" s="12"/>
    </row>
    <row r="190" spans="10:10" x14ac:dyDescent="0.35">
      <c r="J190" s="12"/>
    </row>
    <row r="191" spans="10:10" x14ac:dyDescent="0.35">
      <c r="J191" s="12"/>
    </row>
    <row r="192" spans="10:10" x14ac:dyDescent="0.35">
      <c r="J192" s="12"/>
    </row>
    <row r="193" spans="10:10" x14ac:dyDescent="0.35">
      <c r="J193" s="12"/>
    </row>
    <row r="194" spans="10:10" x14ac:dyDescent="0.35">
      <c r="J194" s="12"/>
    </row>
    <row r="195" spans="10:10" x14ac:dyDescent="0.35">
      <c r="J195" s="12"/>
    </row>
    <row r="196" spans="10:10" x14ac:dyDescent="0.35">
      <c r="J196" s="12"/>
    </row>
    <row r="197" spans="10:10" x14ac:dyDescent="0.35">
      <c r="J197" s="12"/>
    </row>
    <row r="198" spans="10:10" x14ac:dyDescent="0.35">
      <c r="J198" s="12"/>
    </row>
    <row r="199" spans="10:10" x14ac:dyDescent="0.35">
      <c r="J199" s="12"/>
    </row>
    <row r="200" spans="10:10" x14ac:dyDescent="0.35">
      <c r="J200" s="12"/>
    </row>
    <row r="201" spans="10:10" x14ac:dyDescent="0.35">
      <c r="J201" s="12"/>
    </row>
    <row r="202" spans="10:10" x14ac:dyDescent="0.35">
      <c r="J202" s="12"/>
    </row>
    <row r="203" spans="10:10" x14ac:dyDescent="0.35">
      <c r="J203" s="12"/>
    </row>
    <row r="204" spans="10:10" x14ac:dyDescent="0.35">
      <c r="J204" s="12"/>
    </row>
    <row r="205" spans="10:10" x14ac:dyDescent="0.35">
      <c r="J205" s="12"/>
    </row>
    <row r="206" spans="10:10" x14ac:dyDescent="0.35">
      <c r="J206" s="12"/>
    </row>
    <row r="207" spans="10:10" x14ac:dyDescent="0.35">
      <c r="J207" s="12"/>
    </row>
    <row r="208" spans="10:10" x14ac:dyDescent="0.35">
      <c r="J208" s="12"/>
    </row>
    <row r="209" spans="10:10" x14ac:dyDescent="0.35">
      <c r="J209" s="12"/>
    </row>
    <row r="210" spans="10:10" x14ac:dyDescent="0.35">
      <c r="J210" s="12"/>
    </row>
    <row r="211" spans="10:10" x14ac:dyDescent="0.35">
      <c r="J211" s="12"/>
    </row>
    <row r="212" spans="10:10" x14ac:dyDescent="0.35">
      <c r="J212" s="12"/>
    </row>
    <row r="213" spans="10:10" x14ac:dyDescent="0.35">
      <c r="J213" s="12"/>
    </row>
    <row r="214" spans="10:10" x14ac:dyDescent="0.35">
      <c r="J214" s="12"/>
    </row>
    <row r="215" spans="10:10" x14ac:dyDescent="0.35">
      <c r="J215" s="12"/>
    </row>
    <row r="216" spans="10:10" x14ac:dyDescent="0.35">
      <c r="J216" s="12"/>
    </row>
    <row r="217" spans="10:10" x14ac:dyDescent="0.35">
      <c r="J217" s="12"/>
    </row>
    <row r="218" spans="10:10" x14ac:dyDescent="0.35">
      <c r="J218" s="12"/>
    </row>
    <row r="219" spans="10:10" x14ac:dyDescent="0.35">
      <c r="J219" s="12"/>
    </row>
    <row r="220" spans="10:10" x14ac:dyDescent="0.35">
      <c r="J220" s="12"/>
    </row>
    <row r="221" spans="10:10" x14ac:dyDescent="0.35">
      <c r="J221" s="12"/>
    </row>
    <row r="222" spans="10:10" x14ac:dyDescent="0.35">
      <c r="J222" s="12"/>
    </row>
    <row r="223" spans="10:10" x14ac:dyDescent="0.35">
      <c r="J223" s="12"/>
    </row>
    <row r="224" spans="10:10" x14ac:dyDescent="0.35">
      <c r="J224" s="12"/>
    </row>
    <row r="225" spans="10:10" x14ac:dyDescent="0.35">
      <c r="J225" s="12"/>
    </row>
    <row r="226" spans="10:10" x14ac:dyDescent="0.35">
      <c r="J226" s="12"/>
    </row>
    <row r="227" spans="10:10" x14ac:dyDescent="0.35">
      <c r="J227" s="12"/>
    </row>
    <row r="228" spans="10:10" x14ac:dyDescent="0.35">
      <c r="J228" s="12"/>
    </row>
    <row r="229" spans="10:10" x14ac:dyDescent="0.35">
      <c r="J229" s="12"/>
    </row>
    <row r="230" spans="10:10" x14ac:dyDescent="0.35">
      <c r="J230" s="12"/>
    </row>
    <row r="231" spans="10:10" x14ac:dyDescent="0.35">
      <c r="J231" s="12"/>
    </row>
    <row r="232" spans="10:10" x14ac:dyDescent="0.35">
      <c r="J232" s="12"/>
    </row>
    <row r="233" spans="10:10" x14ac:dyDescent="0.35">
      <c r="J233" s="12"/>
    </row>
    <row r="234" spans="10:10" x14ac:dyDescent="0.35">
      <c r="J234" s="12"/>
    </row>
    <row r="235" spans="10:10" x14ac:dyDescent="0.35">
      <c r="J235" s="12"/>
    </row>
    <row r="236" spans="10:10" x14ac:dyDescent="0.35">
      <c r="J236" s="12"/>
    </row>
    <row r="237" spans="10:10" x14ac:dyDescent="0.35">
      <c r="J237" s="12"/>
    </row>
    <row r="238" spans="10:10" x14ac:dyDescent="0.35">
      <c r="J238" s="12"/>
    </row>
    <row r="239" spans="10:10" x14ac:dyDescent="0.35">
      <c r="J239" s="12"/>
    </row>
    <row r="240" spans="10:10" x14ac:dyDescent="0.35">
      <c r="J240" s="12"/>
    </row>
    <row r="241" spans="10:10" x14ac:dyDescent="0.35">
      <c r="J241" s="12"/>
    </row>
    <row r="242" spans="10:10" x14ac:dyDescent="0.35">
      <c r="J242" s="12"/>
    </row>
    <row r="243" spans="10:10" x14ac:dyDescent="0.35">
      <c r="J243" s="12"/>
    </row>
    <row r="244" spans="10:10" x14ac:dyDescent="0.35">
      <c r="J244" s="12"/>
    </row>
    <row r="245" spans="10:10" x14ac:dyDescent="0.35">
      <c r="J245" s="12"/>
    </row>
    <row r="246" spans="10:10" x14ac:dyDescent="0.35">
      <c r="J246" s="12"/>
    </row>
    <row r="247" spans="10:10" x14ac:dyDescent="0.35">
      <c r="J247" s="12"/>
    </row>
    <row r="248" spans="10:10" x14ac:dyDescent="0.35">
      <c r="J248" s="12"/>
    </row>
    <row r="249" spans="10:10" x14ac:dyDescent="0.35">
      <c r="J249" s="12"/>
    </row>
    <row r="250" spans="10:10" x14ac:dyDescent="0.35">
      <c r="J250" s="12"/>
    </row>
    <row r="251" spans="10:10" x14ac:dyDescent="0.35">
      <c r="J251" s="12"/>
    </row>
    <row r="252" spans="10:10" x14ac:dyDescent="0.35">
      <c r="J252" s="12"/>
    </row>
    <row r="253" spans="10:10" x14ac:dyDescent="0.35">
      <c r="J253" s="12"/>
    </row>
    <row r="254" spans="10:10" x14ac:dyDescent="0.35">
      <c r="J254" s="12"/>
    </row>
    <row r="255" spans="10:10" x14ac:dyDescent="0.35">
      <c r="J255" s="12"/>
    </row>
    <row r="256" spans="10:10" x14ac:dyDescent="0.35">
      <c r="J256" s="12"/>
    </row>
    <row r="257" spans="10:10" x14ac:dyDescent="0.35">
      <c r="J257" s="12"/>
    </row>
    <row r="258" spans="10:10" x14ac:dyDescent="0.35">
      <c r="J258" s="12"/>
    </row>
    <row r="259" spans="10:10" x14ac:dyDescent="0.35">
      <c r="J259" s="12"/>
    </row>
    <row r="260" spans="10:10" x14ac:dyDescent="0.35">
      <c r="J260" s="12"/>
    </row>
    <row r="261" spans="10:10" x14ac:dyDescent="0.35">
      <c r="J261" s="12"/>
    </row>
    <row r="262" spans="10:10" x14ac:dyDescent="0.35">
      <c r="J262" s="12"/>
    </row>
    <row r="263" spans="10:10" x14ac:dyDescent="0.35">
      <c r="J263" s="12"/>
    </row>
    <row r="264" spans="10:10" x14ac:dyDescent="0.35">
      <c r="J264" s="12"/>
    </row>
    <row r="265" spans="10:10" x14ac:dyDescent="0.35">
      <c r="J265" s="12"/>
    </row>
    <row r="266" spans="10:10" x14ac:dyDescent="0.35">
      <c r="J266" s="12"/>
    </row>
    <row r="267" spans="10:10" x14ac:dyDescent="0.35">
      <c r="J267" s="12"/>
    </row>
    <row r="268" spans="10:10" x14ac:dyDescent="0.35">
      <c r="J268" s="12"/>
    </row>
    <row r="269" spans="10:10" x14ac:dyDescent="0.35">
      <c r="J269" s="12"/>
    </row>
    <row r="270" spans="10:10" x14ac:dyDescent="0.35">
      <c r="J270" s="12"/>
    </row>
    <row r="271" spans="10:10" x14ac:dyDescent="0.35">
      <c r="J271" s="12"/>
    </row>
    <row r="272" spans="10:10" x14ac:dyDescent="0.35">
      <c r="J272" s="12"/>
    </row>
    <row r="273" spans="10:10" x14ac:dyDescent="0.35">
      <c r="J273" s="12"/>
    </row>
    <row r="274" spans="10:10" x14ac:dyDescent="0.35">
      <c r="J274" s="12"/>
    </row>
    <row r="275" spans="10:10" x14ac:dyDescent="0.35">
      <c r="J275" s="12"/>
    </row>
    <row r="276" spans="10:10" x14ac:dyDescent="0.35">
      <c r="J276" s="12"/>
    </row>
    <row r="277" spans="10:10" x14ac:dyDescent="0.35">
      <c r="J277" s="12"/>
    </row>
    <row r="278" spans="10:10" x14ac:dyDescent="0.35">
      <c r="J278" s="12"/>
    </row>
    <row r="279" spans="10:10" x14ac:dyDescent="0.35">
      <c r="J279" s="12"/>
    </row>
    <row r="280" spans="10:10" x14ac:dyDescent="0.35">
      <c r="J280" s="12"/>
    </row>
    <row r="281" spans="10:10" x14ac:dyDescent="0.35">
      <c r="J281" s="12"/>
    </row>
    <row r="282" spans="10:10" x14ac:dyDescent="0.35">
      <c r="J282" s="12"/>
    </row>
  </sheetData>
  <sheetProtection sheet="1" objects="1" scenarios="1"/>
  <mergeCells count="19">
    <mergeCell ref="A97:A103"/>
    <mergeCell ref="B102:F102"/>
    <mergeCell ref="A80:A86"/>
    <mergeCell ref="B85:F85"/>
    <mergeCell ref="A65:A79"/>
    <mergeCell ref="B78:F78"/>
    <mergeCell ref="B95:F95"/>
    <mergeCell ref="A87:A96"/>
    <mergeCell ref="A9:G9"/>
    <mergeCell ref="F12:G12"/>
    <mergeCell ref="A14:A64"/>
    <mergeCell ref="B63:F63"/>
    <mergeCell ref="C12:D12"/>
    <mergeCell ref="A10:K10"/>
    <mergeCell ref="A8:G8"/>
    <mergeCell ref="A2:N2"/>
    <mergeCell ref="A5:G5"/>
    <mergeCell ref="A6:G6"/>
    <mergeCell ref="A7:G7"/>
  </mergeCells>
  <conditionalFormatting sqref="I58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I59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/>
  <pageMargins left="0.23622047244094491" right="0.23622047244094491" top="0.19" bottom="0.23622047244094491" header="0.32" footer="0.11811023622047245"/>
  <pageSetup paperSize="9" scale="41" firstPageNumber="4" fitToHeight="0" orientation="landscape" useFirstPageNumber="1" horizontalDpi="1200" verticalDpi="1200" r:id="rId1"/>
  <headerFooter>
    <oddHeader xml:space="preserve">&amp;C
</oddHeader>
    <oddFooter xml:space="preserve">&amp;C&amp;P&amp;R
</oddFooter>
  </headerFooter>
  <rowBreaks count="1" manualBreakCount="1">
    <brk id="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12"/>
  <sheetViews>
    <sheetView zoomScale="60" zoomScaleNormal="60" zoomScalePageLayoutView="55" workbookViewId="0">
      <selection activeCell="K15" sqref="K15"/>
    </sheetView>
  </sheetViews>
  <sheetFormatPr defaultColWidth="9.1796875" defaultRowHeight="14.5" x14ac:dyDescent="0.35"/>
  <cols>
    <col min="1" max="1" width="5" style="7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0.26953125" style="2" customWidth="1"/>
    <col min="8" max="8" width="58.1796875" style="7" customWidth="1"/>
    <col min="9" max="11" width="13.7265625" style="7" customWidth="1"/>
    <col min="12" max="13" width="25.7265625" style="7" customWidth="1"/>
    <col min="14" max="14" width="90.7265625" style="7" customWidth="1"/>
    <col min="15" max="15" width="13.7265625" style="7" customWidth="1"/>
    <col min="16" max="16384" width="9.1796875" style="7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85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L39</f>
        <v>0</v>
      </c>
      <c r="M5" s="170">
        <f>M39</f>
        <v>0</v>
      </c>
      <c r="N5" s="169"/>
    </row>
    <row r="6" spans="1:14" ht="18.5" x14ac:dyDescent="0.35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L54</f>
        <v>0</v>
      </c>
      <c r="M6" s="170">
        <f>M54</f>
        <v>0</v>
      </c>
      <c r="N6" s="169"/>
    </row>
    <row r="7" spans="1:14" ht="18.5" hidden="1" x14ac:dyDescent="0.35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L62</f>
        <v>0</v>
      </c>
      <c r="M7" s="170">
        <f>M62</f>
        <v>0</v>
      </c>
      <c r="N7" s="169"/>
    </row>
    <row r="8" spans="1:14" ht="18.5" hidden="1" x14ac:dyDescent="0.35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L72</f>
        <v>0</v>
      </c>
      <c r="M8" s="170">
        <f>M72</f>
        <v>0</v>
      </c>
      <c r="N8" s="169"/>
    </row>
    <row r="9" spans="1:14" ht="19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L83</f>
        <v>0</v>
      </c>
      <c r="M9" s="170">
        <f>M83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22" customFormat="1" ht="15" customHeight="1" thickBot="1" x14ac:dyDescent="0.4">
      <c r="A13" s="176"/>
      <c r="B13" s="177"/>
      <c r="C13" s="178"/>
      <c r="D13" s="178"/>
      <c r="E13" s="179"/>
      <c r="F13" s="180"/>
      <c r="G13" s="180"/>
      <c r="H13" s="180"/>
      <c r="I13" s="180"/>
      <c r="J13" s="180"/>
      <c r="K13" s="180"/>
      <c r="L13" s="180"/>
      <c r="M13" s="180"/>
      <c r="N13" s="180"/>
    </row>
    <row r="14" spans="1:14" s="23" customFormat="1" x14ac:dyDescent="0.35">
      <c r="A14" s="538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5"/>
      <c r="L14" s="183"/>
      <c r="M14" s="183"/>
      <c r="N14" s="186"/>
    </row>
    <row r="15" spans="1:14" s="23" customFormat="1" ht="18.5" x14ac:dyDescent="0.35">
      <c r="A15" s="539"/>
      <c r="B15" s="187"/>
      <c r="C15" s="188" t="s">
        <v>10</v>
      </c>
      <c r="D15" s="188" t="s">
        <v>59</v>
      </c>
      <c r="E15" s="189"/>
      <c r="F15" s="190" t="s">
        <v>123</v>
      </c>
      <c r="G15" s="191" t="s">
        <v>11</v>
      </c>
      <c r="H15" s="192" t="s">
        <v>229</v>
      </c>
      <c r="I15" s="193" t="s">
        <v>4</v>
      </c>
      <c r="J15" s="194">
        <f>2.1*4+2.1*0.07*2</f>
        <v>8.6940000000000008</v>
      </c>
      <c r="K15" s="98"/>
      <c r="L15" s="195">
        <f>K15*J15</f>
        <v>0</v>
      </c>
      <c r="M15" s="98"/>
      <c r="N15" s="196" t="s">
        <v>293</v>
      </c>
    </row>
    <row r="16" spans="1:14" s="23" customFormat="1" ht="18.5" x14ac:dyDescent="0.35">
      <c r="A16" s="539"/>
      <c r="B16" s="197"/>
      <c r="C16" s="198"/>
      <c r="D16" s="198"/>
      <c r="E16" s="199"/>
      <c r="F16" s="200"/>
      <c r="G16" s="191"/>
      <c r="H16" s="192"/>
      <c r="I16" s="193"/>
      <c r="J16" s="194"/>
      <c r="K16" s="201"/>
      <c r="L16" s="195"/>
      <c r="M16" s="195"/>
      <c r="N16" s="196"/>
    </row>
    <row r="17" spans="1:14" s="23" customFormat="1" x14ac:dyDescent="0.35">
      <c r="A17" s="539"/>
      <c r="B17" s="197"/>
      <c r="C17" s="199"/>
      <c r="D17" s="199"/>
      <c r="E17" s="199"/>
      <c r="F17" s="200"/>
      <c r="G17" s="191" t="s">
        <v>12</v>
      </c>
      <c r="H17" s="192" t="s">
        <v>284</v>
      </c>
      <c r="I17" s="193" t="s">
        <v>5</v>
      </c>
      <c r="J17" s="194">
        <f>4*2.1+2*4</f>
        <v>16.399999999999999</v>
      </c>
      <c r="K17" s="100"/>
      <c r="L17" s="195">
        <f>K17*J17</f>
        <v>0</v>
      </c>
      <c r="M17" s="98"/>
      <c r="N17" s="196" t="s">
        <v>144</v>
      </c>
    </row>
    <row r="18" spans="1:14" s="23" customFormat="1" x14ac:dyDescent="0.35">
      <c r="A18" s="539"/>
      <c r="B18" s="197"/>
      <c r="C18" s="199"/>
      <c r="D18" s="199"/>
      <c r="E18" s="199"/>
      <c r="F18" s="200"/>
      <c r="G18" s="191"/>
      <c r="H18" s="192"/>
      <c r="I18" s="193"/>
      <c r="J18" s="194"/>
      <c r="K18" s="195"/>
      <c r="L18" s="195"/>
      <c r="M18" s="195"/>
      <c r="N18" s="196"/>
    </row>
    <row r="19" spans="1:14" s="23" customFormat="1" x14ac:dyDescent="0.35">
      <c r="A19" s="539"/>
      <c r="B19" s="197"/>
      <c r="C19" s="199"/>
      <c r="D19" s="199"/>
      <c r="E19" s="199"/>
      <c r="F19" s="200"/>
      <c r="G19" s="191" t="s">
        <v>13</v>
      </c>
      <c r="H19" s="192" t="s">
        <v>114</v>
      </c>
      <c r="I19" s="193" t="s">
        <v>4</v>
      </c>
      <c r="J19" s="194">
        <f>2.1*0.07*2+2.1*0.05*2+4*0.05*2</f>
        <v>0.90400000000000003</v>
      </c>
      <c r="K19" s="100"/>
      <c r="L19" s="195">
        <f>K19*J19</f>
        <v>0</v>
      </c>
      <c r="M19" s="98"/>
      <c r="N19" s="196" t="s">
        <v>256</v>
      </c>
    </row>
    <row r="20" spans="1:14" s="23" customFormat="1" x14ac:dyDescent="0.35">
      <c r="A20" s="539"/>
      <c r="B20" s="197"/>
      <c r="C20" s="199"/>
      <c r="D20" s="199"/>
      <c r="E20" s="199"/>
      <c r="F20" s="200"/>
      <c r="G20" s="191"/>
      <c r="H20" s="192" t="s">
        <v>65</v>
      </c>
      <c r="I20" s="193" t="s">
        <v>4</v>
      </c>
      <c r="J20" s="194">
        <f>2.1*4+2.1*0.07*2</f>
        <v>8.6940000000000008</v>
      </c>
      <c r="K20" s="98"/>
      <c r="L20" s="195">
        <f>K20*J20</f>
        <v>0</v>
      </c>
      <c r="M20" s="98"/>
      <c r="N20" s="196"/>
    </row>
    <row r="21" spans="1:14" s="23" customFormat="1" x14ac:dyDescent="0.35">
      <c r="A21" s="539"/>
      <c r="B21" s="197"/>
      <c r="C21" s="199"/>
      <c r="D21" s="199"/>
      <c r="E21" s="199"/>
      <c r="F21" s="200"/>
      <c r="G21" s="191"/>
      <c r="H21" s="192"/>
      <c r="I21" s="193"/>
      <c r="J21" s="194"/>
      <c r="K21" s="195"/>
      <c r="L21" s="195"/>
      <c r="M21" s="195"/>
      <c r="N21" s="196"/>
    </row>
    <row r="22" spans="1:14" s="23" customFormat="1" x14ac:dyDescent="0.35">
      <c r="A22" s="539"/>
      <c r="B22" s="197"/>
      <c r="C22" s="199"/>
      <c r="D22" s="199"/>
      <c r="E22" s="199"/>
      <c r="F22" s="200"/>
      <c r="G22" s="200" t="s">
        <v>17</v>
      </c>
      <c r="H22" s="192" t="s">
        <v>227</v>
      </c>
      <c r="I22" s="193" t="s">
        <v>6</v>
      </c>
      <c r="J22" s="194">
        <v>4</v>
      </c>
      <c r="K22" s="99"/>
      <c r="L22" s="195">
        <f>K22*J22</f>
        <v>0</v>
      </c>
      <c r="M22" s="98"/>
      <c r="N22" s="196"/>
    </row>
    <row r="23" spans="1:14" s="23" customFormat="1" x14ac:dyDescent="0.35">
      <c r="A23" s="539"/>
      <c r="B23" s="197"/>
      <c r="C23" s="199"/>
      <c r="D23" s="199"/>
      <c r="E23" s="199"/>
      <c r="F23" s="200"/>
      <c r="G23" s="200"/>
      <c r="H23" s="192" t="s">
        <v>265</v>
      </c>
      <c r="I23" s="193" t="s">
        <v>5</v>
      </c>
      <c r="J23" s="194">
        <v>4</v>
      </c>
      <c r="K23" s="99"/>
      <c r="L23" s="195">
        <f>K23*J23</f>
        <v>0</v>
      </c>
      <c r="M23" s="98"/>
      <c r="N23" s="196"/>
    </row>
    <row r="24" spans="1:14" s="23" customFormat="1" x14ac:dyDescent="0.35">
      <c r="A24" s="539"/>
      <c r="B24" s="197"/>
      <c r="C24" s="199"/>
      <c r="D24" s="199"/>
      <c r="E24" s="199"/>
      <c r="F24" s="200"/>
      <c r="G24" s="200"/>
      <c r="H24" s="192"/>
      <c r="I24" s="193"/>
      <c r="J24" s="194"/>
      <c r="K24" s="195"/>
      <c r="L24" s="195"/>
      <c r="M24" s="195"/>
      <c r="N24" s="196"/>
    </row>
    <row r="25" spans="1:14" s="23" customFormat="1" ht="15.5" x14ac:dyDescent="0.35">
      <c r="A25" s="539"/>
      <c r="B25" s="202"/>
      <c r="C25" s="203"/>
      <c r="D25" s="203"/>
      <c r="E25" s="203"/>
      <c r="F25" s="204"/>
      <c r="G25" s="205"/>
      <c r="H25" s="206" t="s">
        <v>211</v>
      </c>
      <c r="I25" s="207"/>
      <c r="J25" s="208"/>
      <c r="K25" s="209"/>
      <c r="L25" s="210">
        <f>SUM(L15:L23)</f>
        <v>0</v>
      </c>
      <c r="M25" s="210">
        <f>SUM(M15:M23)</f>
        <v>0</v>
      </c>
      <c r="N25" s="211"/>
    </row>
    <row r="26" spans="1:14" x14ac:dyDescent="0.35">
      <c r="A26" s="539"/>
      <c r="B26" s="197"/>
      <c r="C26" s="199"/>
      <c r="D26" s="199"/>
      <c r="E26" s="199"/>
      <c r="F26" s="199"/>
      <c r="G26" s="212"/>
      <c r="H26" s="213"/>
      <c r="I26" s="213"/>
      <c r="J26" s="214"/>
      <c r="K26" s="215"/>
      <c r="L26" s="213"/>
      <c r="M26" s="213"/>
      <c r="N26" s="196"/>
    </row>
    <row r="27" spans="1:14" ht="18.75" customHeight="1" x14ac:dyDescent="0.35">
      <c r="A27" s="539"/>
      <c r="B27" s="216"/>
      <c r="C27" s="188" t="s">
        <v>10</v>
      </c>
      <c r="D27" s="188" t="s">
        <v>60</v>
      </c>
      <c r="E27" s="189"/>
      <c r="F27" s="190" t="s">
        <v>101</v>
      </c>
      <c r="G27" s="191" t="s">
        <v>11</v>
      </c>
      <c r="H27" s="192" t="s">
        <v>226</v>
      </c>
      <c r="I27" s="193" t="s">
        <v>4</v>
      </c>
      <c r="J27" s="194">
        <f>2.1*4+2.1*0.07*2+0.15*(0.4+0.4+4)+0.4*4</f>
        <v>11.014000000000001</v>
      </c>
      <c r="K27" s="98"/>
      <c r="L27" s="195">
        <f>K27*J27</f>
        <v>0</v>
      </c>
      <c r="M27" s="98"/>
      <c r="N27" s="196" t="s">
        <v>292</v>
      </c>
    </row>
    <row r="28" spans="1:14" s="14" customFormat="1" ht="18.75" customHeight="1" x14ac:dyDescent="0.35">
      <c r="A28" s="539"/>
      <c r="B28" s="217"/>
      <c r="C28" s="218"/>
      <c r="D28" s="218"/>
      <c r="E28" s="219"/>
      <c r="F28" s="220"/>
      <c r="G28" s="191"/>
      <c r="H28" s="192"/>
      <c r="I28" s="193"/>
      <c r="J28" s="194"/>
      <c r="K28" s="201"/>
      <c r="L28" s="195"/>
      <c r="M28" s="195"/>
      <c r="N28" s="196"/>
    </row>
    <row r="29" spans="1:14" ht="18.5" x14ac:dyDescent="0.35">
      <c r="A29" s="539"/>
      <c r="B29" s="197"/>
      <c r="C29" s="198"/>
      <c r="D29" s="198"/>
      <c r="E29" s="199"/>
      <c r="F29" s="200"/>
      <c r="G29" s="191" t="s">
        <v>12</v>
      </c>
      <c r="H29" s="192" t="s">
        <v>284</v>
      </c>
      <c r="I29" s="193" t="s">
        <v>5</v>
      </c>
      <c r="J29" s="194">
        <f>5*2.1+4*4+5*0.5</f>
        <v>29</v>
      </c>
      <c r="K29" s="100"/>
      <c r="L29" s="195">
        <f>K29*J29</f>
        <v>0</v>
      </c>
      <c r="M29" s="98"/>
      <c r="N29" s="196" t="s">
        <v>144</v>
      </c>
    </row>
    <row r="30" spans="1:14" x14ac:dyDescent="0.35">
      <c r="A30" s="539"/>
      <c r="B30" s="197"/>
      <c r="C30" s="199"/>
      <c r="D30" s="199"/>
      <c r="E30" s="199"/>
      <c r="F30" s="200"/>
      <c r="G30" s="191"/>
      <c r="H30" s="192"/>
      <c r="I30" s="193"/>
      <c r="J30" s="194"/>
      <c r="K30" s="195"/>
      <c r="L30" s="195"/>
      <c r="M30" s="195"/>
      <c r="N30" s="196"/>
    </row>
    <row r="31" spans="1:14" x14ac:dyDescent="0.35">
      <c r="A31" s="539"/>
      <c r="B31" s="197"/>
      <c r="C31" s="199"/>
      <c r="D31" s="199"/>
      <c r="E31" s="199"/>
      <c r="F31" s="200"/>
      <c r="G31" s="191" t="s">
        <v>13</v>
      </c>
      <c r="H31" s="192" t="s">
        <v>114</v>
      </c>
      <c r="I31" s="193" t="s">
        <v>4</v>
      </c>
      <c r="J31" s="194">
        <f>2.1*0.07*2+2.1*0.05*2+4*0.05*2+0.15*(0.4+0.4+4)+0.4*4</f>
        <v>3.2240000000000002</v>
      </c>
      <c r="K31" s="100"/>
      <c r="L31" s="195">
        <f>K31*J31</f>
        <v>0</v>
      </c>
      <c r="M31" s="98"/>
      <c r="N31" s="196" t="s">
        <v>256</v>
      </c>
    </row>
    <row r="32" spans="1:14" ht="58" x14ac:dyDescent="0.35">
      <c r="A32" s="539"/>
      <c r="B32" s="197"/>
      <c r="C32" s="199"/>
      <c r="D32" s="199"/>
      <c r="E32" s="199"/>
      <c r="F32" s="200"/>
      <c r="G32" s="191"/>
      <c r="H32" s="221" t="s">
        <v>348</v>
      </c>
      <c r="I32" s="193" t="s">
        <v>4</v>
      </c>
      <c r="J32" s="194">
        <f>2.1*4+2.1*0.07*2+0.15*(0.4+0.4+4)+0.4*4</f>
        <v>11.014000000000001</v>
      </c>
      <c r="K32" s="98"/>
      <c r="L32" s="195">
        <f>K32*J32</f>
        <v>0</v>
      </c>
      <c r="M32" s="98"/>
      <c r="N32" s="196"/>
    </row>
    <row r="33" spans="1:14" x14ac:dyDescent="0.35">
      <c r="A33" s="539"/>
      <c r="B33" s="197"/>
      <c r="C33" s="199"/>
      <c r="D33" s="199"/>
      <c r="E33" s="199"/>
      <c r="F33" s="200"/>
      <c r="G33" s="191"/>
      <c r="H33" s="192"/>
      <c r="I33" s="193"/>
      <c r="J33" s="194"/>
      <c r="K33" s="195"/>
      <c r="L33" s="195"/>
      <c r="M33" s="195"/>
      <c r="N33" s="196"/>
    </row>
    <row r="34" spans="1:14" s="14" customFormat="1" x14ac:dyDescent="0.35">
      <c r="A34" s="539"/>
      <c r="B34" s="197"/>
      <c r="C34" s="199"/>
      <c r="D34" s="199"/>
      <c r="E34" s="199"/>
      <c r="F34" s="200"/>
      <c r="G34" s="200" t="s">
        <v>17</v>
      </c>
      <c r="H34" s="192" t="s">
        <v>227</v>
      </c>
      <c r="I34" s="193" t="s">
        <v>6</v>
      </c>
      <c r="J34" s="194">
        <v>4</v>
      </c>
      <c r="K34" s="99"/>
      <c r="L34" s="195">
        <f>K34*J34</f>
        <v>0</v>
      </c>
      <c r="M34" s="98"/>
      <c r="N34" s="196"/>
    </row>
    <row r="35" spans="1:14" s="14" customFormat="1" x14ac:dyDescent="0.35">
      <c r="A35" s="539"/>
      <c r="B35" s="197"/>
      <c r="C35" s="199"/>
      <c r="D35" s="199"/>
      <c r="E35" s="199"/>
      <c r="F35" s="200"/>
      <c r="G35" s="200"/>
      <c r="H35" s="192" t="s">
        <v>265</v>
      </c>
      <c r="I35" s="193" t="s">
        <v>5</v>
      </c>
      <c r="J35" s="194">
        <v>4</v>
      </c>
      <c r="K35" s="99"/>
      <c r="L35" s="195">
        <f>K35*J35</f>
        <v>0</v>
      </c>
      <c r="M35" s="98"/>
      <c r="N35" s="196"/>
    </row>
    <row r="36" spans="1:14" x14ac:dyDescent="0.35">
      <c r="A36" s="539"/>
      <c r="B36" s="197"/>
      <c r="C36" s="199"/>
      <c r="D36" s="199"/>
      <c r="E36" s="199"/>
      <c r="F36" s="200"/>
      <c r="G36" s="200"/>
      <c r="H36" s="192"/>
      <c r="I36" s="193"/>
      <c r="J36" s="194"/>
      <c r="K36" s="195"/>
      <c r="L36" s="195"/>
      <c r="M36" s="195"/>
      <c r="N36" s="196"/>
    </row>
    <row r="37" spans="1:14" ht="15.5" x14ac:dyDescent="0.35">
      <c r="A37" s="539"/>
      <c r="B37" s="202"/>
      <c r="C37" s="203"/>
      <c r="D37" s="203"/>
      <c r="E37" s="203"/>
      <c r="F37" s="204"/>
      <c r="G37" s="205"/>
      <c r="H37" s="206" t="s">
        <v>211</v>
      </c>
      <c r="I37" s="207"/>
      <c r="J37" s="208"/>
      <c r="K37" s="209"/>
      <c r="L37" s="210">
        <f>SUM(L27:L35)</f>
        <v>0</v>
      </c>
      <c r="M37" s="210">
        <f>SUM(M27:M35)</f>
        <v>0</v>
      </c>
      <c r="N37" s="211"/>
    </row>
    <row r="38" spans="1:14" ht="15" thickBot="1" x14ac:dyDescent="0.4">
      <c r="A38" s="539"/>
      <c r="B38" s="197"/>
      <c r="C38" s="199"/>
      <c r="D38" s="199"/>
      <c r="E38" s="199"/>
      <c r="F38" s="199"/>
      <c r="G38" s="199"/>
      <c r="H38" s="222"/>
      <c r="I38" s="222"/>
      <c r="J38" s="223"/>
      <c r="K38" s="222"/>
      <c r="L38" s="222"/>
      <c r="M38" s="222"/>
      <c r="N38" s="196"/>
    </row>
    <row r="39" spans="1:14" ht="19" thickBot="1" x14ac:dyDescent="0.4">
      <c r="A39" s="539"/>
      <c r="B39" s="526" t="s">
        <v>18</v>
      </c>
      <c r="C39" s="526"/>
      <c r="D39" s="526"/>
      <c r="E39" s="526"/>
      <c r="F39" s="526"/>
      <c r="G39" s="224"/>
      <c r="H39" s="224" t="s">
        <v>211</v>
      </c>
      <c r="I39" s="225"/>
      <c r="J39" s="226"/>
      <c r="K39" s="227"/>
      <c r="L39" s="228">
        <f>L25+L37</f>
        <v>0</v>
      </c>
      <c r="M39" s="229">
        <f>M25+M37</f>
        <v>0</v>
      </c>
      <c r="N39" s="196"/>
    </row>
    <row r="40" spans="1:14" ht="19" thickBot="1" x14ac:dyDescent="0.4">
      <c r="A40" s="540"/>
      <c r="B40" s="230"/>
      <c r="C40" s="231"/>
      <c r="D40" s="231"/>
      <c r="E40" s="232"/>
      <c r="F40" s="233"/>
      <c r="G40" s="233"/>
      <c r="H40" s="234"/>
      <c r="I40" s="235"/>
      <c r="J40" s="236"/>
      <c r="K40" s="237"/>
      <c r="L40" s="238"/>
      <c r="M40" s="239"/>
      <c r="N40" s="240"/>
    </row>
    <row r="41" spans="1:14" ht="18.5" x14ac:dyDescent="0.35">
      <c r="A41" s="538" t="s">
        <v>20</v>
      </c>
      <c r="B41" s="162"/>
      <c r="C41" s="172"/>
      <c r="D41" s="172"/>
      <c r="E41" s="163"/>
      <c r="F41" s="241"/>
      <c r="G41" s="241"/>
      <c r="H41" s="161"/>
      <c r="I41" s="242"/>
      <c r="J41" s="243"/>
      <c r="K41" s="244"/>
      <c r="L41" s="244"/>
      <c r="M41" s="244"/>
      <c r="N41" s="186"/>
    </row>
    <row r="42" spans="1:14" ht="18.5" x14ac:dyDescent="0.35">
      <c r="A42" s="539"/>
      <c r="B42" s="216"/>
      <c r="C42" s="188" t="s">
        <v>19</v>
      </c>
      <c r="D42" s="188" t="s">
        <v>59</v>
      </c>
      <c r="E42" s="245"/>
      <c r="F42" s="190" t="s">
        <v>98</v>
      </c>
      <c r="G42" s="246"/>
      <c r="H42" s="247" t="s">
        <v>22</v>
      </c>
      <c r="I42" s="242" t="s">
        <v>4</v>
      </c>
      <c r="J42" s="243">
        <f>2.1*4</f>
        <v>8.4</v>
      </c>
      <c r="K42" s="98"/>
      <c r="L42" s="244">
        <f>K42*J42</f>
        <v>0</v>
      </c>
      <c r="M42" s="99"/>
      <c r="N42" s="196"/>
    </row>
    <row r="43" spans="1:14" x14ac:dyDescent="0.35">
      <c r="A43" s="539"/>
      <c r="B43" s="162"/>
      <c r="C43" s="163"/>
      <c r="D43" s="163"/>
      <c r="E43" s="163"/>
      <c r="F43" s="241"/>
      <c r="G43" s="241"/>
      <c r="H43" s="247"/>
      <c r="I43" s="242"/>
      <c r="J43" s="243"/>
      <c r="K43" s="244"/>
      <c r="L43" s="244"/>
      <c r="M43" s="244"/>
      <c r="N43" s="196"/>
    </row>
    <row r="44" spans="1:14" ht="15.5" x14ac:dyDescent="0.35">
      <c r="A44" s="539"/>
      <c r="B44" s="202"/>
      <c r="C44" s="203"/>
      <c r="D44" s="203"/>
      <c r="E44" s="203"/>
      <c r="F44" s="204"/>
      <c r="G44" s="205"/>
      <c r="H44" s="206" t="s">
        <v>211</v>
      </c>
      <c r="I44" s="207"/>
      <c r="J44" s="208"/>
      <c r="K44" s="209"/>
      <c r="L44" s="210">
        <f>SUM(L42:L42)</f>
        <v>0</v>
      </c>
      <c r="M44" s="210">
        <f>SUM(M42:M42)</f>
        <v>0</v>
      </c>
      <c r="N44" s="211"/>
    </row>
    <row r="45" spans="1:14" x14ac:dyDescent="0.35">
      <c r="A45" s="539"/>
      <c r="B45" s="162"/>
      <c r="C45" s="163"/>
      <c r="D45" s="163"/>
      <c r="E45" s="163"/>
      <c r="F45" s="212"/>
      <c r="G45" s="212"/>
      <c r="H45" s="213"/>
      <c r="I45" s="213"/>
      <c r="J45" s="214"/>
      <c r="K45" s="213"/>
      <c r="L45" s="213"/>
      <c r="M45" s="213"/>
      <c r="N45" s="196"/>
    </row>
    <row r="46" spans="1:14" ht="18.5" x14ac:dyDescent="0.35">
      <c r="A46" s="539"/>
      <c r="B46" s="216"/>
      <c r="C46" s="188" t="s">
        <v>19</v>
      </c>
      <c r="D46" s="188" t="s">
        <v>60</v>
      </c>
      <c r="E46" s="245"/>
      <c r="F46" s="190" t="s">
        <v>99</v>
      </c>
      <c r="G46" s="246"/>
      <c r="H46" s="247" t="s">
        <v>22</v>
      </c>
      <c r="I46" s="242" t="s">
        <v>4</v>
      </c>
      <c r="J46" s="243">
        <f>2.1*4</f>
        <v>8.4</v>
      </c>
      <c r="K46" s="98"/>
      <c r="L46" s="244">
        <f>K46*J46</f>
        <v>0</v>
      </c>
      <c r="M46" s="99"/>
      <c r="N46" s="196"/>
    </row>
    <row r="47" spans="1:14" x14ac:dyDescent="0.35">
      <c r="A47" s="539"/>
      <c r="B47" s="162"/>
      <c r="C47" s="163"/>
      <c r="D47" s="163"/>
      <c r="E47" s="163"/>
      <c r="F47" s="241"/>
      <c r="G47" s="241"/>
      <c r="H47" s="247"/>
      <c r="I47" s="242"/>
      <c r="J47" s="243"/>
      <c r="K47" s="244"/>
      <c r="L47" s="244"/>
      <c r="M47" s="244"/>
      <c r="N47" s="196"/>
    </row>
    <row r="48" spans="1:14" ht="15.5" x14ac:dyDescent="0.35">
      <c r="A48" s="539"/>
      <c r="B48" s="202"/>
      <c r="C48" s="203"/>
      <c r="D48" s="203"/>
      <c r="E48" s="203"/>
      <c r="F48" s="204"/>
      <c r="G48" s="205"/>
      <c r="H48" s="206" t="s">
        <v>211</v>
      </c>
      <c r="I48" s="207"/>
      <c r="J48" s="208"/>
      <c r="K48" s="209"/>
      <c r="L48" s="210">
        <f>SUM(L46)</f>
        <v>0</v>
      </c>
      <c r="M48" s="210">
        <f>SUM(M46)</f>
        <v>0</v>
      </c>
      <c r="N48" s="211"/>
    </row>
    <row r="49" spans="1:14" s="23" customFormat="1" x14ac:dyDescent="0.35">
      <c r="A49" s="539"/>
      <c r="B49" s="162"/>
      <c r="C49" s="163"/>
      <c r="D49" s="163"/>
      <c r="E49" s="163"/>
      <c r="F49" s="212"/>
      <c r="G49" s="212"/>
      <c r="H49" s="213"/>
      <c r="I49" s="213"/>
      <c r="J49" s="214"/>
      <c r="K49" s="213"/>
      <c r="L49" s="213"/>
      <c r="M49" s="213"/>
      <c r="N49" s="196"/>
    </row>
    <row r="50" spans="1:14" s="23" customFormat="1" ht="29" x14ac:dyDescent="0.35">
      <c r="A50" s="539"/>
      <c r="B50" s="216"/>
      <c r="C50" s="188" t="s">
        <v>19</v>
      </c>
      <c r="D50" s="188" t="s">
        <v>192</v>
      </c>
      <c r="E50" s="245"/>
      <c r="F50" s="248" t="s">
        <v>193</v>
      </c>
      <c r="G50" s="246"/>
      <c r="H50" s="249" t="s">
        <v>234</v>
      </c>
      <c r="I50" s="242" t="s">
        <v>6</v>
      </c>
      <c r="J50" s="243">
        <v>10</v>
      </c>
      <c r="K50" s="98"/>
      <c r="L50" s="244">
        <f>K50*J50</f>
        <v>0</v>
      </c>
      <c r="M50" s="99"/>
      <c r="N50" s="196" t="s">
        <v>327</v>
      </c>
    </row>
    <row r="51" spans="1:14" s="23" customFormat="1" x14ac:dyDescent="0.35">
      <c r="A51" s="539"/>
      <c r="B51" s="162"/>
      <c r="C51" s="163"/>
      <c r="D51" s="163"/>
      <c r="E51" s="163"/>
      <c r="F51" s="241"/>
      <c r="G51" s="241"/>
      <c r="H51" s="247"/>
      <c r="I51" s="242"/>
      <c r="J51" s="243"/>
      <c r="K51" s="244"/>
      <c r="L51" s="244"/>
      <c r="M51" s="244"/>
      <c r="N51" s="196"/>
    </row>
    <row r="52" spans="1:14" s="23" customFormat="1" ht="15.5" x14ac:dyDescent="0.35">
      <c r="A52" s="539"/>
      <c r="B52" s="202"/>
      <c r="C52" s="203"/>
      <c r="D52" s="203"/>
      <c r="E52" s="203"/>
      <c r="F52" s="204"/>
      <c r="G52" s="205"/>
      <c r="H52" s="206" t="s">
        <v>211</v>
      </c>
      <c r="I52" s="207"/>
      <c r="J52" s="208"/>
      <c r="K52" s="209"/>
      <c r="L52" s="210">
        <f>SUM(L50)</f>
        <v>0</v>
      </c>
      <c r="M52" s="210">
        <f>SUM(M50)</f>
        <v>0</v>
      </c>
      <c r="N52" s="211"/>
    </row>
    <row r="53" spans="1:14" ht="15" thickBot="1" x14ac:dyDescent="0.4">
      <c r="A53" s="539"/>
      <c r="B53" s="162"/>
      <c r="C53" s="163"/>
      <c r="D53" s="163"/>
      <c r="E53" s="163"/>
      <c r="F53" s="163"/>
      <c r="G53" s="163"/>
      <c r="H53" s="161"/>
      <c r="I53" s="161"/>
      <c r="J53" s="250"/>
      <c r="K53" s="161"/>
      <c r="L53" s="161"/>
      <c r="M53" s="161"/>
      <c r="N53" s="196"/>
    </row>
    <row r="54" spans="1:14" ht="19" thickBot="1" x14ac:dyDescent="0.4">
      <c r="A54" s="539"/>
      <c r="B54" s="526" t="s">
        <v>23</v>
      </c>
      <c r="C54" s="527"/>
      <c r="D54" s="527"/>
      <c r="E54" s="527"/>
      <c r="F54" s="527"/>
      <c r="G54" s="224"/>
      <c r="H54" s="224" t="s">
        <v>211</v>
      </c>
      <c r="I54" s="225"/>
      <c r="J54" s="226"/>
      <c r="K54" s="227"/>
      <c r="L54" s="228">
        <f>L44+L48+L52</f>
        <v>0</v>
      </c>
      <c r="M54" s="229">
        <f>M44+M48+M52</f>
        <v>0</v>
      </c>
      <c r="N54" s="196"/>
    </row>
    <row r="55" spans="1:14" ht="19" thickBot="1" x14ac:dyDescent="0.4">
      <c r="A55" s="540"/>
      <c r="B55" s="230"/>
      <c r="C55" s="231"/>
      <c r="D55" s="231"/>
      <c r="E55" s="232"/>
      <c r="F55" s="233"/>
      <c r="G55" s="233"/>
      <c r="H55" s="234"/>
      <c r="I55" s="235"/>
      <c r="J55" s="236"/>
      <c r="K55" s="237"/>
      <c r="L55" s="238"/>
      <c r="M55" s="239"/>
      <c r="N55" s="196"/>
    </row>
    <row r="56" spans="1:14" ht="18.5" hidden="1" x14ac:dyDescent="0.35">
      <c r="A56" s="543" t="s">
        <v>25</v>
      </c>
      <c r="B56" s="251"/>
      <c r="C56" s="252"/>
      <c r="D56" s="252"/>
      <c r="E56" s="253"/>
      <c r="F56" s="254"/>
      <c r="G56" s="254"/>
      <c r="H56" s="255"/>
      <c r="I56" s="256"/>
      <c r="J56" s="257"/>
      <c r="K56" s="258"/>
      <c r="L56" s="258"/>
      <c r="M56" s="258"/>
      <c r="N56" s="259"/>
    </row>
    <row r="57" spans="1:14" ht="18.75" hidden="1" customHeight="1" x14ac:dyDescent="0.35">
      <c r="A57" s="544"/>
      <c r="B57" s="216"/>
      <c r="C57" s="188" t="s">
        <v>26</v>
      </c>
      <c r="D57" s="188" t="s">
        <v>100</v>
      </c>
      <c r="E57" s="245"/>
      <c r="F57" s="190" t="s">
        <v>240</v>
      </c>
      <c r="G57" s="260"/>
      <c r="H57" s="261"/>
      <c r="I57" s="256"/>
      <c r="J57" s="257"/>
      <c r="K57" s="262">
        <v>0</v>
      </c>
      <c r="L57" s="258">
        <f>K57*J57</f>
        <v>0</v>
      </c>
      <c r="M57" s="258">
        <v>0</v>
      </c>
      <c r="N57" s="263"/>
    </row>
    <row r="58" spans="1:14" ht="18.5" hidden="1" x14ac:dyDescent="0.35">
      <c r="A58" s="544"/>
      <c r="B58" s="251"/>
      <c r="C58" s="252"/>
      <c r="D58" s="252"/>
      <c r="E58" s="253"/>
      <c r="F58" s="254"/>
      <c r="G58" s="254"/>
      <c r="H58" s="261"/>
      <c r="I58" s="256"/>
      <c r="J58" s="257"/>
      <c r="K58" s="258"/>
      <c r="L58" s="258"/>
      <c r="M58" s="258"/>
      <c r="N58" s="263"/>
    </row>
    <row r="59" spans="1:14" hidden="1" x14ac:dyDescent="0.35">
      <c r="A59" s="544"/>
      <c r="B59" s="251"/>
      <c r="C59" s="253"/>
      <c r="D59" s="253"/>
      <c r="E59" s="253"/>
      <c r="F59" s="254"/>
      <c r="G59" s="254"/>
      <c r="H59" s="261"/>
      <c r="I59" s="256"/>
      <c r="J59" s="257"/>
      <c r="K59" s="258"/>
      <c r="L59" s="258"/>
      <c r="M59" s="258"/>
      <c r="N59" s="263"/>
    </row>
    <row r="60" spans="1:14" ht="15.5" hidden="1" x14ac:dyDescent="0.35">
      <c r="A60" s="544"/>
      <c r="B60" s="264"/>
      <c r="C60" s="265"/>
      <c r="D60" s="265"/>
      <c r="E60" s="265"/>
      <c r="F60" s="266"/>
      <c r="G60" s="267"/>
      <c r="H60" s="206" t="s">
        <v>211</v>
      </c>
      <c r="I60" s="268"/>
      <c r="J60" s="269"/>
      <c r="K60" s="270"/>
      <c r="L60" s="210">
        <f>SUM(L57:L57)</f>
        <v>0</v>
      </c>
      <c r="M60" s="210">
        <f>SUM(M57:M57)</f>
        <v>0</v>
      </c>
      <c r="N60" s="271"/>
    </row>
    <row r="61" spans="1:14" ht="15" hidden="1" thickBot="1" x14ac:dyDescent="0.4">
      <c r="A61" s="544"/>
      <c r="B61" s="251"/>
      <c r="C61" s="253"/>
      <c r="D61" s="253"/>
      <c r="E61" s="253"/>
      <c r="F61" s="253"/>
      <c r="G61" s="253"/>
      <c r="H61" s="255"/>
      <c r="I61" s="255"/>
      <c r="J61" s="272"/>
      <c r="K61" s="255"/>
      <c r="L61" s="255"/>
      <c r="M61" s="255"/>
      <c r="N61" s="263"/>
    </row>
    <row r="62" spans="1:14" ht="19" hidden="1" thickBot="1" x14ac:dyDescent="0.4">
      <c r="A62" s="544"/>
      <c r="B62" s="526" t="s">
        <v>24</v>
      </c>
      <c r="C62" s="527"/>
      <c r="D62" s="527"/>
      <c r="E62" s="527"/>
      <c r="F62" s="527"/>
      <c r="G62" s="224"/>
      <c r="H62" s="224" t="s">
        <v>211</v>
      </c>
      <c r="I62" s="225"/>
      <c r="J62" s="226"/>
      <c r="K62" s="227"/>
      <c r="L62" s="228">
        <f>L60</f>
        <v>0</v>
      </c>
      <c r="M62" s="229">
        <f>M60</f>
        <v>0</v>
      </c>
      <c r="N62" s="263"/>
    </row>
    <row r="63" spans="1:14" ht="19" hidden="1" thickBot="1" x14ac:dyDescent="0.4">
      <c r="A63" s="545"/>
      <c r="B63" s="273"/>
      <c r="C63" s="274"/>
      <c r="D63" s="274"/>
      <c r="E63" s="275"/>
      <c r="F63" s="276"/>
      <c r="G63" s="276"/>
      <c r="H63" s="277"/>
      <c r="I63" s="278"/>
      <c r="J63" s="279"/>
      <c r="K63" s="280"/>
      <c r="L63" s="281"/>
      <c r="M63" s="278"/>
      <c r="N63" s="263"/>
    </row>
    <row r="64" spans="1:14" s="9" customFormat="1" ht="18.5" hidden="1" x14ac:dyDescent="0.35">
      <c r="A64" s="543" t="s">
        <v>30</v>
      </c>
      <c r="B64" s="251"/>
      <c r="C64" s="252"/>
      <c r="D64" s="252"/>
      <c r="E64" s="253"/>
      <c r="F64" s="254"/>
      <c r="G64" s="254"/>
      <c r="H64" s="255"/>
      <c r="I64" s="256"/>
      <c r="J64" s="257"/>
      <c r="K64" s="258"/>
      <c r="L64" s="258"/>
      <c r="M64" s="258"/>
      <c r="N64" s="259"/>
    </row>
    <row r="65" spans="1:14" s="9" customFormat="1" ht="35" hidden="1" customHeight="1" x14ac:dyDescent="0.35">
      <c r="A65" s="544"/>
      <c r="B65" s="216"/>
      <c r="C65" s="188" t="s">
        <v>31</v>
      </c>
      <c r="D65" s="188" t="s">
        <v>59</v>
      </c>
      <c r="E65" s="245"/>
      <c r="F65" s="282" t="s">
        <v>202</v>
      </c>
      <c r="G65" s="283"/>
      <c r="H65" s="284"/>
      <c r="I65" s="285" t="s">
        <v>6</v>
      </c>
      <c r="J65" s="286"/>
      <c r="K65" s="287">
        <v>0</v>
      </c>
      <c r="L65" s="287">
        <v>0</v>
      </c>
      <c r="M65" s="287">
        <v>0</v>
      </c>
      <c r="N65" s="263"/>
    </row>
    <row r="66" spans="1:14" s="9" customFormat="1" ht="18.5" hidden="1" x14ac:dyDescent="0.35">
      <c r="A66" s="544"/>
      <c r="B66" s="217"/>
      <c r="C66" s="218"/>
      <c r="D66" s="218"/>
      <c r="E66" s="219"/>
      <c r="F66" s="220"/>
      <c r="G66" s="283"/>
      <c r="H66" s="284"/>
      <c r="I66" s="285"/>
      <c r="J66" s="286"/>
      <c r="K66" s="287"/>
      <c r="L66" s="287"/>
      <c r="M66" s="287"/>
      <c r="N66" s="263"/>
    </row>
    <row r="67" spans="1:14" s="9" customFormat="1" hidden="1" x14ac:dyDescent="0.35">
      <c r="A67" s="544"/>
      <c r="B67" s="217"/>
      <c r="C67" s="219"/>
      <c r="D67" s="219"/>
      <c r="E67" s="219"/>
      <c r="F67" s="288"/>
      <c r="G67" s="288"/>
      <c r="H67" s="284"/>
      <c r="I67" s="285" t="s">
        <v>61</v>
      </c>
      <c r="J67" s="286"/>
      <c r="K67" s="287">
        <v>0</v>
      </c>
      <c r="L67" s="287">
        <v>0</v>
      </c>
      <c r="M67" s="287">
        <v>0</v>
      </c>
      <c r="N67" s="263"/>
    </row>
    <row r="68" spans="1:14" s="9" customFormat="1" hidden="1" x14ac:dyDescent="0.35">
      <c r="A68" s="544"/>
      <c r="B68" s="217"/>
      <c r="C68" s="219"/>
      <c r="D68" s="219"/>
      <c r="E68" s="219"/>
      <c r="F68" s="288"/>
      <c r="G68" s="288"/>
      <c r="H68" s="284"/>
      <c r="I68" s="285" t="s">
        <v>61</v>
      </c>
      <c r="J68" s="286"/>
      <c r="K68" s="287">
        <v>0</v>
      </c>
      <c r="L68" s="287">
        <v>0</v>
      </c>
      <c r="M68" s="287">
        <v>0</v>
      </c>
      <c r="N68" s="263"/>
    </row>
    <row r="69" spans="1:14" s="9" customFormat="1" ht="18.5" hidden="1" x14ac:dyDescent="0.35">
      <c r="A69" s="544"/>
      <c r="B69" s="251"/>
      <c r="C69" s="252"/>
      <c r="D69" s="252"/>
      <c r="E69" s="253"/>
      <c r="F69" s="220"/>
      <c r="G69" s="283"/>
      <c r="H69" s="284"/>
      <c r="I69" s="285"/>
      <c r="J69" s="286"/>
      <c r="K69" s="287"/>
      <c r="L69" s="289"/>
      <c r="M69" s="287"/>
      <c r="N69" s="263"/>
    </row>
    <row r="70" spans="1:14" s="9" customFormat="1" ht="18.5" hidden="1" x14ac:dyDescent="0.35">
      <c r="A70" s="544"/>
      <c r="B70" s="290"/>
      <c r="C70" s="143"/>
      <c r="D70" s="143"/>
      <c r="E70" s="265"/>
      <c r="F70" s="266"/>
      <c r="G70" s="267"/>
      <c r="H70" s="206" t="s">
        <v>211</v>
      </c>
      <c r="I70" s="268"/>
      <c r="J70" s="269"/>
      <c r="K70" s="270"/>
      <c r="L70" s="210">
        <f>SUM(L65:L69)</f>
        <v>0</v>
      </c>
      <c r="M70" s="210">
        <f>SUM(M65:M69)</f>
        <v>0</v>
      </c>
      <c r="N70" s="271"/>
    </row>
    <row r="71" spans="1:14" s="9" customFormat="1" ht="15" hidden="1" thickBot="1" x14ac:dyDescent="0.4">
      <c r="A71" s="544"/>
      <c r="B71" s="251"/>
      <c r="C71" s="253"/>
      <c r="D71" s="253"/>
      <c r="E71" s="253"/>
      <c r="F71" s="253"/>
      <c r="G71" s="253"/>
      <c r="H71" s="255"/>
      <c r="I71" s="255"/>
      <c r="J71" s="272"/>
      <c r="K71" s="255"/>
      <c r="L71" s="255"/>
      <c r="M71" s="255"/>
      <c r="N71" s="263"/>
    </row>
    <row r="72" spans="1:14" s="9" customFormat="1" ht="19" hidden="1" thickBot="1" x14ac:dyDescent="0.4">
      <c r="A72" s="544"/>
      <c r="B72" s="526" t="s">
        <v>28</v>
      </c>
      <c r="C72" s="527"/>
      <c r="D72" s="527"/>
      <c r="E72" s="527"/>
      <c r="F72" s="527"/>
      <c r="G72" s="224"/>
      <c r="H72" s="224" t="s">
        <v>211</v>
      </c>
      <c r="I72" s="225"/>
      <c r="J72" s="226"/>
      <c r="K72" s="227"/>
      <c r="L72" s="228">
        <f>L70</f>
        <v>0</v>
      </c>
      <c r="M72" s="229">
        <f>M70</f>
        <v>0</v>
      </c>
      <c r="N72" s="263"/>
    </row>
    <row r="73" spans="1:14" s="9" customFormat="1" ht="19" hidden="1" thickBot="1" x14ac:dyDescent="0.4">
      <c r="A73" s="545"/>
      <c r="B73" s="273"/>
      <c r="C73" s="274"/>
      <c r="D73" s="274"/>
      <c r="E73" s="275"/>
      <c r="F73" s="276"/>
      <c r="G73" s="276"/>
      <c r="H73" s="277"/>
      <c r="I73" s="278"/>
      <c r="J73" s="279"/>
      <c r="K73" s="280"/>
      <c r="L73" s="281"/>
      <c r="M73" s="278"/>
      <c r="N73" s="291"/>
    </row>
    <row r="74" spans="1:14" ht="18.5" x14ac:dyDescent="0.35">
      <c r="A74" s="538" t="s">
        <v>32</v>
      </c>
      <c r="B74" s="181"/>
      <c r="C74" s="292"/>
      <c r="D74" s="292"/>
      <c r="E74" s="182"/>
      <c r="F74" s="293"/>
      <c r="G74" s="293"/>
      <c r="H74" s="183"/>
      <c r="I74" s="294"/>
      <c r="J74" s="295"/>
      <c r="K74" s="296"/>
      <c r="L74" s="296"/>
      <c r="M74" s="296"/>
      <c r="N74" s="186"/>
    </row>
    <row r="75" spans="1:14" ht="29" x14ac:dyDescent="0.35">
      <c r="A75" s="539"/>
      <c r="B75" s="297"/>
      <c r="C75" s="188" t="s">
        <v>33</v>
      </c>
      <c r="D75" s="188" t="s">
        <v>59</v>
      </c>
      <c r="E75" s="298"/>
      <c r="F75" s="190" t="s">
        <v>311</v>
      </c>
      <c r="G75" s="299"/>
      <c r="H75" s="300" t="s">
        <v>324</v>
      </c>
      <c r="I75" s="301" t="s">
        <v>6</v>
      </c>
      <c r="J75" s="302"/>
      <c r="K75" s="201">
        <v>0</v>
      </c>
      <c r="L75" s="201">
        <f>K75*J75</f>
        <v>0</v>
      </c>
      <c r="M75" s="201">
        <v>0</v>
      </c>
      <c r="N75" s="196" t="s">
        <v>340</v>
      </c>
    </row>
    <row r="76" spans="1:14" x14ac:dyDescent="0.35">
      <c r="A76" s="539"/>
      <c r="B76" s="197"/>
      <c r="C76" s="199"/>
      <c r="D76" s="199"/>
      <c r="E76" s="199"/>
      <c r="F76" s="200"/>
      <c r="G76" s="200"/>
      <c r="H76" s="192"/>
      <c r="I76" s="193"/>
      <c r="J76" s="194"/>
      <c r="K76" s="195"/>
      <c r="L76" s="195"/>
      <c r="M76" s="195"/>
      <c r="N76" s="196"/>
    </row>
    <row r="77" spans="1:14" ht="21" x14ac:dyDescent="0.35">
      <c r="A77" s="539"/>
      <c r="B77" s="202"/>
      <c r="C77" s="203"/>
      <c r="D77" s="203"/>
      <c r="E77" s="203"/>
      <c r="F77" s="204"/>
      <c r="G77" s="205"/>
      <c r="H77" s="206" t="s">
        <v>211</v>
      </c>
      <c r="I77" s="207"/>
      <c r="J77" s="208"/>
      <c r="K77" s="209"/>
      <c r="L77" s="210">
        <f>SUM(L75:L75)</f>
        <v>0</v>
      </c>
      <c r="M77" s="210">
        <f>SUM(M75:M75)</f>
        <v>0</v>
      </c>
      <c r="N77" s="303"/>
    </row>
    <row r="78" spans="1:14" s="23" customFormat="1" ht="18.5" x14ac:dyDescent="0.35">
      <c r="A78" s="539"/>
      <c r="B78" s="197"/>
      <c r="C78" s="198"/>
      <c r="D78" s="198"/>
      <c r="E78" s="199"/>
      <c r="F78" s="200"/>
      <c r="G78" s="200"/>
      <c r="H78" s="222"/>
      <c r="I78" s="193"/>
      <c r="J78" s="194"/>
      <c r="K78" s="195"/>
      <c r="L78" s="195"/>
      <c r="M78" s="195"/>
      <c r="N78" s="196"/>
    </row>
    <row r="79" spans="1:14" s="23" customFormat="1" ht="43.5" x14ac:dyDescent="0.35">
      <c r="A79" s="539"/>
      <c r="B79" s="216"/>
      <c r="C79" s="188" t="s">
        <v>33</v>
      </c>
      <c r="D79" s="188" t="s">
        <v>60</v>
      </c>
      <c r="E79" s="189"/>
      <c r="F79" s="304" t="s">
        <v>331</v>
      </c>
      <c r="G79" s="191"/>
      <c r="H79" s="221" t="s">
        <v>330</v>
      </c>
      <c r="I79" s="193" t="s">
        <v>6</v>
      </c>
      <c r="J79" s="194">
        <v>1</v>
      </c>
      <c r="K79" s="98"/>
      <c r="L79" s="195">
        <f>K79*J79</f>
        <v>0</v>
      </c>
      <c r="M79" s="98"/>
      <c r="N79" s="196" t="s">
        <v>337</v>
      </c>
    </row>
    <row r="80" spans="1:14" s="23" customFormat="1" x14ac:dyDescent="0.35">
      <c r="A80" s="539"/>
      <c r="B80" s="197"/>
      <c r="C80" s="199"/>
      <c r="D80" s="199"/>
      <c r="E80" s="199"/>
      <c r="F80" s="200"/>
      <c r="G80" s="200"/>
      <c r="H80" s="192"/>
      <c r="I80" s="193"/>
      <c r="J80" s="194"/>
      <c r="K80" s="195"/>
      <c r="L80" s="195"/>
      <c r="M80" s="195"/>
      <c r="N80" s="196"/>
    </row>
    <row r="81" spans="1:14" s="23" customFormat="1" ht="15.5" x14ac:dyDescent="0.35">
      <c r="A81" s="539"/>
      <c r="B81" s="202"/>
      <c r="C81" s="203"/>
      <c r="D81" s="203"/>
      <c r="E81" s="203"/>
      <c r="F81" s="204"/>
      <c r="G81" s="205"/>
      <c r="H81" s="206" t="s">
        <v>211</v>
      </c>
      <c r="I81" s="207"/>
      <c r="J81" s="208"/>
      <c r="K81" s="209"/>
      <c r="L81" s="210">
        <f>SUM(L79:L79)</f>
        <v>0</v>
      </c>
      <c r="M81" s="210">
        <f>SUM(M79:M79)</f>
        <v>0</v>
      </c>
      <c r="N81" s="211"/>
    </row>
    <row r="82" spans="1:14" ht="15" thickBot="1" x14ac:dyDescent="0.4">
      <c r="A82" s="541"/>
      <c r="B82" s="197"/>
      <c r="C82" s="199"/>
      <c r="D82" s="199"/>
      <c r="E82" s="199"/>
      <c r="F82" s="199"/>
      <c r="G82" s="199"/>
      <c r="H82" s="222"/>
      <c r="I82" s="222"/>
      <c r="J82" s="223"/>
      <c r="K82" s="222"/>
      <c r="L82" s="222"/>
      <c r="M82" s="222"/>
      <c r="N82" s="196"/>
    </row>
    <row r="83" spans="1:14" ht="21.5" thickBot="1" x14ac:dyDescent="0.4">
      <c r="A83" s="541"/>
      <c r="B83" s="526" t="s">
        <v>29</v>
      </c>
      <c r="C83" s="527"/>
      <c r="D83" s="527"/>
      <c r="E83" s="527"/>
      <c r="F83" s="527"/>
      <c r="G83" s="224"/>
      <c r="H83" s="224" t="s">
        <v>211</v>
      </c>
      <c r="I83" s="225"/>
      <c r="J83" s="226"/>
      <c r="K83" s="227"/>
      <c r="L83" s="228">
        <f>L77+L81</f>
        <v>0</v>
      </c>
      <c r="M83" s="229">
        <f>M77+M81</f>
        <v>0</v>
      </c>
      <c r="N83" s="305"/>
    </row>
    <row r="84" spans="1:14" ht="19" thickBot="1" x14ac:dyDescent="0.4">
      <c r="A84" s="542"/>
      <c r="B84" s="230"/>
      <c r="C84" s="231"/>
      <c r="D84" s="231"/>
      <c r="E84" s="232"/>
      <c r="F84" s="233"/>
      <c r="G84" s="233"/>
      <c r="H84" s="234"/>
      <c r="I84" s="235"/>
      <c r="J84" s="236"/>
      <c r="K84" s="237"/>
      <c r="L84" s="238"/>
      <c r="M84" s="239"/>
      <c r="N84" s="240"/>
    </row>
    <row r="85" spans="1:14" x14ac:dyDescent="0.35">
      <c r="J85" s="12"/>
    </row>
    <row r="86" spans="1:14" x14ac:dyDescent="0.35">
      <c r="J86" s="12"/>
    </row>
    <row r="87" spans="1:14" x14ac:dyDescent="0.35">
      <c r="J87" s="12"/>
    </row>
    <row r="88" spans="1:14" x14ac:dyDescent="0.35">
      <c r="J88" s="12"/>
    </row>
    <row r="89" spans="1:14" x14ac:dyDescent="0.35">
      <c r="J89" s="12"/>
    </row>
    <row r="90" spans="1:14" x14ac:dyDescent="0.35">
      <c r="J90" s="12"/>
    </row>
    <row r="91" spans="1:14" x14ac:dyDescent="0.35">
      <c r="J91" s="12"/>
    </row>
    <row r="92" spans="1:14" x14ac:dyDescent="0.35">
      <c r="J92" s="12"/>
    </row>
    <row r="93" spans="1:14" x14ac:dyDescent="0.35">
      <c r="J93" s="12"/>
    </row>
    <row r="94" spans="1:14" x14ac:dyDescent="0.35">
      <c r="J94" s="12"/>
    </row>
    <row r="95" spans="1:14" x14ac:dyDescent="0.35">
      <c r="J95" s="12"/>
    </row>
    <row r="96" spans="1:14" x14ac:dyDescent="0.35">
      <c r="J96" s="12"/>
    </row>
    <row r="97" spans="10:10" x14ac:dyDescent="0.35">
      <c r="J97" s="12"/>
    </row>
    <row r="98" spans="10:10" x14ac:dyDescent="0.35">
      <c r="J98" s="12"/>
    </row>
    <row r="99" spans="10:10" x14ac:dyDescent="0.35">
      <c r="J99" s="12"/>
    </row>
    <row r="100" spans="10:10" x14ac:dyDescent="0.35">
      <c r="J100" s="12"/>
    </row>
    <row r="101" spans="10:10" x14ac:dyDescent="0.35">
      <c r="J101" s="12"/>
    </row>
    <row r="102" spans="10:10" x14ac:dyDescent="0.35">
      <c r="J102" s="12"/>
    </row>
    <row r="103" spans="10:10" x14ac:dyDescent="0.35">
      <c r="J103" s="12"/>
    </row>
    <row r="104" spans="10:10" x14ac:dyDescent="0.35">
      <c r="J104" s="12"/>
    </row>
    <row r="105" spans="10:10" x14ac:dyDescent="0.35">
      <c r="J105" s="12"/>
    </row>
    <row r="106" spans="10:10" x14ac:dyDescent="0.35">
      <c r="J106" s="12"/>
    </row>
    <row r="107" spans="10:10" x14ac:dyDescent="0.35">
      <c r="J107" s="12"/>
    </row>
    <row r="108" spans="10:10" x14ac:dyDescent="0.35">
      <c r="J108" s="12"/>
    </row>
    <row r="109" spans="10:10" x14ac:dyDescent="0.35">
      <c r="J109" s="12"/>
    </row>
    <row r="110" spans="10:10" x14ac:dyDescent="0.35">
      <c r="J110" s="12"/>
    </row>
    <row r="111" spans="10:10" x14ac:dyDescent="0.35">
      <c r="J111" s="12"/>
    </row>
    <row r="112" spans="10:10" x14ac:dyDescent="0.35">
      <c r="J112" s="12"/>
    </row>
    <row r="113" spans="10:10" x14ac:dyDescent="0.35">
      <c r="J113" s="12"/>
    </row>
    <row r="114" spans="10:10" x14ac:dyDescent="0.35">
      <c r="J114" s="12"/>
    </row>
    <row r="115" spans="10:10" x14ac:dyDescent="0.35">
      <c r="J115" s="12"/>
    </row>
    <row r="116" spans="10:10" x14ac:dyDescent="0.35">
      <c r="J116" s="12"/>
    </row>
    <row r="117" spans="10:10" x14ac:dyDescent="0.35">
      <c r="J117" s="12"/>
    </row>
    <row r="118" spans="10:10" x14ac:dyDescent="0.35">
      <c r="J118" s="12"/>
    </row>
    <row r="119" spans="10:10" x14ac:dyDescent="0.35">
      <c r="J119" s="12"/>
    </row>
    <row r="120" spans="10:10" x14ac:dyDescent="0.35">
      <c r="J120" s="12"/>
    </row>
    <row r="121" spans="10:10" x14ac:dyDescent="0.35">
      <c r="J121" s="12"/>
    </row>
    <row r="122" spans="10:10" x14ac:dyDescent="0.35">
      <c r="J122" s="12"/>
    </row>
    <row r="123" spans="10:10" x14ac:dyDescent="0.35">
      <c r="J123" s="12"/>
    </row>
    <row r="124" spans="10:10" x14ac:dyDescent="0.35">
      <c r="J124" s="12"/>
    </row>
    <row r="125" spans="10:10" x14ac:dyDescent="0.35">
      <c r="J125" s="12"/>
    </row>
    <row r="126" spans="10:10" x14ac:dyDescent="0.35">
      <c r="J126" s="12"/>
    </row>
    <row r="127" spans="10:10" x14ac:dyDescent="0.35">
      <c r="J127" s="12"/>
    </row>
    <row r="128" spans="10:10" x14ac:dyDescent="0.35">
      <c r="J128" s="12"/>
    </row>
    <row r="129" spans="10:10" x14ac:dyDescent="0.35">
      <c r="J129" s="12"/>
    </row>
    <row r="130" spans="10:10" x14ac:dyDescent="0.35">
      <c r="J130" s="12"/>
    </row>
    <row r="131" spans="10:10" x14ac:dyDescent="0.35">
      <c r="J131" s="12"/>
    </row>
    <row r="132" spans="10:10" x14ac:dyDescent="0.35">
      <c r="J132" s="12"/>
    </row>
    <row r="133" spans="10:10" x14ac:dyDescent="0.35">
      <c r="J133" s="12"/>
    </row>
    <row r="134" spans="10:10" x14ac:dyDescent="0.35">
      <c r="J134" s="12"/>
    </row>
    <row r="135" spans="10:10" x14ac:dyDescent="0.35">
      <c r="J135" s="12"/>
    </row>
    <row r="136" spans="10:10" x14ac:dyDescent="0.35">
      <c r="J136" s="12"/>
    </row>
    <row r="137" spans="10:10" x14ac:dyDescent="0.35">
      <c r="J137" s="12"/>
    </row>
    <row r="138" spans="10:10" x14ac:dyDescent="0.35">
      <c r="J138" s="12"/>
    </row>
    <row r="139" spans="10:10" x14ac:dyDescent="0.35">
      <c r="J139" s="12"/>
    </row>
    <row r="140" spans="10:10" x14ac:dyDescent="0.35">
      <c r="J140" s="12"/>
    </row>
    <row r="141" spans="10:10" x14ac:dyDescent="0.35">
      <c r="J141" s="12"/>
    </row>
    <row r="142" spans="10:10" x14ac:dyDescent="0.35">
      <c r="J142" s="12"/>
    </row>
    <row r="143" spans="10:10" x14ac:dyDescent="0.35">
      <c r="J143" s="12"/>
    </row>
    <row r="144" spans="10:10" x14ac:dyDescent="0.35">
      <c r="J144" s="12"/>
    </row>
    <row r="145" spans="10:10" x14ac:dyDescent="0.35">
      <c r="J145" s="12"/>
    </row>
    <row r="146" spans="10:10" x14ac:dyDescent="0.35">
      <c r="J146" s="12"/>
    </row>
    <row r="147" spans="10:10" x14ac:dyDescent="0.35">
      <c r="J147" s="12"/>
    </row>
    <row r="148" spans="10:10" x14ac:dyDescent="0.35">
      <c r="J148" s="12"/>
    </row>
    <row r="149" spans="10:10" x14ac:dyDescent="0.35">
      <c r="J149" s="12"/>
    </row>
    <row r="150" spans="10:10" x14ac:dyDescent="0.35">
      <c r="J150" s="12"/>
    </row>
    <row r="151" spans="10:10" x14ac:dyDescent="0.35">
      <c r="J151" s="12"/>
    </row>
    <row r="152" spans="10:10" x14ac:dyDescent="0.35">
      <c r="J152" s="12"/>
    </row>
    <row r="153" spans="10:10" x14ac:dyDescent="0.35">
      <c r="J153" s="12"/>
    </row>
    <row r="154" spans="10:10" x14ac:dyDescent="0.35">
      <c r="J154" s="12"/>
    </row>
    <row r="155" spans="10:10" x14ac:dyDescent="0.35">
      <c r="J155" s="12"/>
    </row>
    <row r="156" spans="10:10" x14ac:dyDescent="0.35">
      <c r="J156" s="12"/>
    </row>
    <row r="157" spans="10:10" x14ac:dyDescent="0.35">
      <c r="J157" s="12"/>
    </row>
    <row r="158" spans="10:10" x14ac:dyDescent="0.35">
      <c r="J158" s="12"/>
    </row>
    <row r="159" spans="10:10" x14ac:dyDescent="0.35">
      <c r="J159" s="12"/>
    </row>
    <row r="160" spans="10:10" x14ac:dyDescent="0.35">
      <c r="J160" s="12"/>
    </row>
    <row r="161" spans="10:10" x14ac:dyDescent="0.35">
      <c r="J161" s="12"/>
    </row>
    <row r="162" spans="10:10" x14ac:dyDescent="0.35">
      <c r="J162" s="12"/>
    </row>
    <row r="163" spans="10:10" x14ac:dyDescent="0.35">
      <c r="J163" s="12"/>
    </row>
    <row r="164" spans="10:10" x14ac:dyDescent="0.35">
      <c r="J164" s="12"/>
    </row>
    <row r="165" spans="10:10" x14ac:dyDescent="0.35">
      <c r="J165" s="12"/>
    </row>
    <row r="166" spans="10:10" x14ac:dyDescent="0.35">
      <c r="J166" s="12"/>
    </row>
    <row r="167" spans="10:10" x14ac:dyDescent="0.35">
      <c r="J167" s="12"/>
    </row>
    <row r="168" spans="10:10" x14ac:dyDescent="0.35">
      <c r="J168" s="12"/>
    </row>
    <row r="169" spans="10:10" x14ac:dyDescent="0.35">
      <c r="J169" s="12"/>
    </row>
    <row r="170" spans="10:10" x14ac:dyDescent="0.35">
      <c r="J170" s="12"/>
    </row>
    <row r="171" spans="10:10" x14ac:dyDescent="0.35">
      <c r="J171" s="12"/>
    </row>
    <row r="172" spans="10:10" x14ac:dyDescent="0.35">
      <c r="J172" s="12"/>
    </row>
    <row r="173" spans="10:10" x14ac:dyDescent="0.35">
      <c r="J173" s="12"/>
    </row>
    <row r="174" spans="10:10" x14ac:dyDescent="0.35">
      <c r="J174" s="12"/>
    </row>
    <row r="175" spans="10:10" x14ac:dyDescent="0.35">
      <c r="J175" s="12"/>
    </row>
    <row r="176" spans="10:10" x14ac:dyDescent="0.35">
      <c r="J176" s="12"/>
    </row>
    <row r="177" spans="10:10" x14ac:dyDescent="0.35">
      <c r="J177" s="12"/>
    </row>
    <row r="178" spans="10:10" x14ac:dyDescent="0.35">
      <c r="J178" s="12"/>
    </row>
    <row r="179" spans="10:10" x14ac:dyDescent="0.35">
      <c r="J179" s="12"/>
    </row>
    <row r="180" spans="10:10" x14ac:dyDescent="0.35">
      <c r="J180" s="12"/>
    </row>
    <row r="181" spans="10:10" x14ac:dyDescent="0.35">
      <c r="J181" s="12"/>
    </row>
    <row r="182" spans="10:10" x14ac:dyDescent="0.35">
      <c r="J182" s="12"/>
    </row>
    <row r="183" spans="10:10" x14ac:dyDescent="0.35">
      <c r="J183" s="12"/>
    </row>
    <row r="184" spans="10:10" x14ac:dyDescent="0.35">
      <c r="J184" s="12"/>
    </row>
    <row r="185" spans="10:10" x14ac:dyDescent="0.35">
      <c r="J185" s="12"/>
    </row>
    <row r="186" spans="10:10" x14ac:dyDescent="0.35">
      <c r="J186" s="12"/>
    </row>
    <row r="187" spans="10:10" x14ac:dyDescent="0.35">
      <c r="J187" s="12"/>
    </row>
    <row r="188" spans="10:10" x14ac:dyDescent="0.35">
      <c r="J188" s="12"/>
    </row>
    <row r="189" spans="10:10" x14ac:dyDescent="0.35">
      <c r="J189" s="12"/>
    </row>
    <row r="190" spans="10:10" x14ac:dyDescent="0.35">
      <c r="J190" s="12"/>
    </row>
    <row r="191" spans="10:10" x14ac:dyDescent="0.35">
      <c r="J191" s="12"/>
    </row>
    <row r="192" spans="10:10" x14ac:dyDescent="0.35">
      <c r="J192" s="12"/>
    </row>
    <row r="193" spans="10:10" x14ac:dyDescent="0.35">
      <c r="J193" s="12"/>
    </row>
    <row r="194" spans="10:10" x14ac:dyDescent="0.35">
      <c r="J194" s="12"/>
    </row>
    <row r="195" spans="10:10" x14ac:dyDescent="0.35">
      <c r="J195" s="12"/>
    </row>
    <row r="196" spans="10:10" x14ac:dyDescent="0.35">
      <c r="J196" s="12"/>
    </row>
    <row r="197" spans="10:10" x14ac:dyDescent="0.35">
      <c r="J197" s="12"/>
    </row>
    <row r="198" spans="10:10" x14ac:dyDescent="0.35">
      <c r="J198" s="12"/>
    </row>
    <row r="199" spans="10:10" x14ac:dyDescent="0.35">
      <c r="J199" s="12"/>
    </row>
    <row r="200" spans="10:10" x14ac:dyDescent="0.35">
      <c r="J200" s="12"/>
    </row>
    <row r="201" spans="10:10" x14ac:dyDescent="0.35">
      <c r="J201" s="12"/>
    </row>
    <row r="202" spans="10:10" x14ac:dyDescent="0.35">
      <c r="J202" s="12"/>
    </row>
    <row r="203" spans="10:10" x14ac:dyDescent="0.35">
      <c r="J203" s="12"/>
    </row>
    <row r="204" spans="10:10" x14ac:dyDescent="0.35">
      <c r="J204" s="12"/>
    </row>
    <row r="205" spans="10:10" x14ac:dyDescent="0.35">
      <c r="J205" s="12"/>
    </row>
    <row r="206" spans="10:10" x14ac:dyDescent="0.35">
      <c r="J206" s="12"/>
    </row>
    <row r="207" spans="10:10" x14ac:dyDescent="0.35">
      <c r="J207" s="12"/>
    </row>
    <row r="208" spans="10:10" x14ac:dyDescent="0.35">
      <c r="J208" s="12"/>
    </row>
    <row r="209" spans="10:10" x14ac:dyDescent="0.35">
      <c r="J209" s="12"/>
    </row>
    <row r="210" spans="10:10" x14ac:dyDescent="0.35">
      <c r="J210" s="12"/>
    </row>
    <row r="211" spans="10:10" x14ac:dyDescent="0.35">
      <c r="J211" s="12"/>
    </row>
    <row r="212" spans="10:10" x14ac:dyDescent="0.35">
      <c r="J212" s="12"/>
    </row>
  </sheetData>
  <sheetProtection sheet="1" objects="1" scenarios="1"/>
  <mergeCells count="19">
    <mergeCell ref="A74:A84"/>
    <mergeCell ref="B83:F83"/>
    <mergeCell ref="A41:A55"/>
    <mergeCell ref="B54:F54"/>
    <mergeCell ref="A56:A63"/>
    <mergeCell ref="B62:F62"/>
    <mergeCell ref="A64:A73"/>
    <mergeCell ref="B72:F72"/>
    <mergeCell ref="A9:G9"/>
    <mergeCell ref="A14:A40"/>
    <mergeCell ref="B39:F39"/>
    <mergeCell ref="C12:D12"/>
    <mergeCell ref="F12:G12"/>
    <mergeCell ref="A10:K10"/>
    <mergeCell ref="A8:G8"/>
    <mergeCell ref="A2:N2"/>
    <mergeCell ref="A5:G5"/>
    <mergeCell ref="A6:G6"/>
    <mergeCell ref="A7:G7"/>
  </mergeCells>
  <pageMargins left="0.23622047244094491" right="0.23622047244094491" top="0.35433070866141736" bottom="0.27559055118110237" header="0.11811023622047245" footer="0.15748031496062992"/>
  <pageSetup paperSize="9" scale="42" firstPageNumber="6" fitToHeight="0" orientation="landscape" useFirstPageNumber="1" horizontalDpi="1200" verticalDpi="1200" r:id="rId1"/>
  <headerFooter>
    <oddFooter xml:space="preserve">&amp;C&amp;P&amp;R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03"/>
  <sheetViews>
    <sheetView zoomScale="60" zoomScaleNormal="60" zoomScalePageLayoutView="50" workbookViewId="0">
      <selection activeCell="K15" sqref="K15"/>
    </sheetView>
  </sheetViews>
  <sheetFormatPr defaultColWidth="9.1796875" defaultRowHeight="14.5" x14ac:dyDescent="0.35"/>
  <cols>
    <col min="1" max="1" width="5" style="3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0.26953125" style="2" customWidth="1"/>
    <col min="8" max="8" width="57.36328125" style="3" customWidth="1"/>
    <col min="9" max="11" width="13.7265625" style="3" customWidth="1"/>
    <col min="12" max="13" width="25.7265625" style="3" customWidth="1"/>
    <col min="14" max="14" width="90.7265625" style="3" customWidth="1"/>
    <col min="15" max="15" width="13.7265625" style="3" customWidth="1"/>
    <col min="16" max="16384" width="9.1796875" style="3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86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L48</f>
        <v>0</v>
      </c>
      <c r="M5" s="170">
        <f>M48</f>
        <v>0</v>
      </c>
      <c r="N5" s="169"/>
    </row>
    <row r="6" spans="1:14" ht="19" thickBot="1" x14ac:dyDescent="0.4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L63</f>
        <v>0</v>
      </c>
      <c r="M6" s="170">
        <f>M63</f>
        <v>0</v>
      </c>
      <c r="N6" s="169"/>
    </row>
    <row r="7" spans="1:14" ht="18.5" hidden="1" x14ac:dyDescent="0.35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L71</f>
        <v>0</v>
      </c>
      <c r="M7" s="170">
        <f>M71</f>
        <v>0</v>
      </c>
      <c r="N7" s="169"/>
    </row>
    <row r="8" spans="1:14" ht="18.5" hidden="1" x14ac:dyDescent="0.35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L78</f>
        <v>0</v>
      </c>
      <c r="M8" s="170">
        <f>M78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L85</f>
        <v>0</v>
      </c>
      <c r="M9" s="170">
        <f>M85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22" customFormat="1" ht="15" customHeight="1" thickBot="1" x14ac:dyDescent="0.4">
      <c r="A13" s="176"/>
      <c r="B13" s="177"/>
      <c r="C13" s="178"/>
      <c r="D13" s="178"/>
      <c r="E13" s="179"/>
      <c r="F13" s="180"/>
      <c r="G13" s="180"/>
      <c r="H13" s="180"/>
      <c r="I13" s="180"/>
      <c r="J13" s="180"/>
      <c r="K13" s="180"/>
      <c r="L13" s="180"/>
      <c r="M13" s="180"/>
      <c r="N13" s="180"/>
    </row>
    <row r="14" spans="1:14" ht="14" customHeight="1" x14ac:dyDescent="0.35">
      <c r="A14" s="546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3"/>
      <c r="L14" s="183"/>
      <c r="M14" s="183"/>
      <c r="N14" s="186"/>
    </row>
    <row r="15" spans="1:14" ht="18.5" x14ac:dyDescent="0.35">
      <c r="A15" s="547"/>
      <c r="B15" s="216"/>
      <c r="C15" s="188" t="s">
        <v>10</v>
      </c>
      <c r="D15" s="188" t="s">
        <v>39</v>
      </c>
      <c r="E15" s="189"/>
      <c r="F15" s="190" t="s">
        <v>102</v>
      </c>
      <c r="G15" s="191" t="s">
        <v>11</v>
      </c>
      <c r="H15" s="192" t="s">
        <v>278</v>
      </c>
      <c r="I15" s="193" t="s">
        <v>4</v>
      </c>
      <c r="J15" s="194">
        <f>9.1*0.1*5</f>
        <v>4.55</v>
      </c>
      <c r="K15" s="98"/>
      <c r="L15" s="195">
        <f>K15*J15</f>
        <v>0</v>
      </c>
      <c r="M15" s="98"/>
      <c r="N15" s="196" t="s">
        <v>292</v>
      </c>
    </row>
    <row r="16" spans="1:14" s="23" customFormat="1" ht="18.5" x14ac:dyDescent="0.35">
      <c r="A16" s="547"/>
      <c r="B16" s="217"/>
      <c r="C16" s="218"/>
      <c r="D16" s="218"/>
      <c r="E16" s="219"/>
      <c r="F16" s="220"/>
      <c r="G16" s="191"/>
      <c r="H16" s="192" t="s">
        <v>226</v>
      </c>
      <c r="I16" s="193" t="s">
        <v>4</v>
      </c>
      <c r="J16" s="194">
        <f>7.8*9+4*(0.27+0.5+6.29+4.15)+0.1*(6.29+41.5)+0.1*(6.29+4.15)</f>
        <v>120.863</v>
      </c>
      <c r="K16" s="98"/>
      <c r="L16" s="195">
        <f>K16*J16</f>
        <v>0</v>
      </c>
      <c r="M16" s="98"/>
      <c r="N16" s="196" t="s">
        <v>292</v>
      </c>
    </row>
    <row r="17" spans="1:14" ht="18.5" x14ac:dyDescent="0.35">
      <c r="A17" s="547"/>
      <c r="B17" s="197"/>
      <c r="C17" s="198"/>
      <c r="D17" s="198"/>
      <c r="E17" s="199"/>
      <c r="F17" s="200"/>
      <c r="G17" s="191"/>
      <c r="H17" s="192" t="s">
        <v>232</v>
      </c>
      <c r="I17" s="193" t="s">
        <v>4</v>
      </c>
      <c r="J17" s="194">
        <f>0.1*(6.29+4.15)+0.1*(0.27+0.5)+0.1*5*(0.22+0.75+0.805+0.645+0.58+0.97+0.74+0.795+0.735+0.465+0.37+1.1125+1.125+0.72+0.705+1.245+1.26+1.125+1.125+1.43)+0.07*4*(0.27+0.84+0.895+0.735+0.675+1.215+0.845+0.895+0.835+0.625)+2.27*2*2+0.1*(0.765+0.66+0.77+0.76)</f>
        <v>21.15015</v>
      </c>
      <c r="K17" s="98"/>
      <c r="L17" s="195">
        <f>K17*J17</f>
        <v>0</v>
      </c>
      <c r="M17" s="98"/>
      <c r="N17" s="196" t="s">
        <v>292</v>
      </c>
    </row>
    <row r="18" spans="1:14" x14ac:dyDescent="0.35">
      <c r="A18" s="547"/>
      <c r="B18" s="197"/>
      <c r="C18" s="199"/>
      <c r="D18" s="199"/>
      <c r="E18" s="199"/>
      <c r="F18" s="200"/>
      <c r="G18" s="191"/>
      <c r="H18" s="192"/>
      <c r="I18" s="193"/>
      <c r="J18" s="194"/>
      <c r="K18" s="195"/>
      <c r="L18" s="195"/>
      <c r="M18" s="195"/>
      <c r="N18" s="196"/>
    </row>
    <row r="19" spans="1:14" x14ac:dyDescent="0.35">
      <c r="A19" s="547"/>
      <c r="B19" s="197"/>
      <c r="C19" s="199"/>
      <c r="D19" s="199"/>
      <c r="E19" s="199"/>
      <c r="F19" s="200"/>
      <c r="G19" s="191" t="s">
        <v>13</v>
      </c>
      <c r="H19" s="192" t="s">
        <v>114</v>
      </c>
      <c r="I19" s="193" t="s">
        <v>4</v>
      </c>
      <c r="J19" s="194">
        <f>7.8*10+9.1*0.1+0.1*(6.29+4.15+0.27+0.5)*1+2*(0.1*5*(0.22+0.75+0.805+0.645+0.58+0.97+0.74+0.795+0.735+0.465+0.37+1.1125+1.125+0.72+0.705+1.245+1.26+1.125+1.125+1.43))+2*1*(2.27*2)+0.1*(0.765+0.66+0.77+0.76)*2</f>
        <v>106.62449999999998</v>
      </c>
      <c r="K19" s="98"/>
      <c r="L19" s="195">
        <f>K19*J19</f>
        <v>0</v>
      </c>
      <c r="M19" s="98"/>
      <c r="N19" s="196" t="s">
        <v>256</v>
      </c>
    </row>
    <row r="20" spans="1:14" x14ac:dyDescent="0.35">
      <c r="A20" s="547"/>
      <c r="B20" s="197"/>
      <c r="C20" s="199"/>
      <c r="D20" s="199"/>
      <c r="E20" s="199"/>
      <c r="F20" s="200"/>
      <c r="G20" s="191"/>
      <c r="H20" s="192" t="s">
        <v>65</v>
      </c>
      <c r="I20" s="193" t="s">
        <v>4</v>
      </c>
      <c r="J20" s="194">
        <f>7.8*9+9.1*0.1*6+0.1*(6.29+4.15)*2+4*(0.27+0.5+6.29+4.15)+(0.27+0.5)*2+2*(0.1*5*(0.22+0.75+0.805+0.645+0.58+0.97+0.74+0.795+0.735+0.465+0.37+1.1125+1.125+0.72+0.705+1.245+1.26+1.125+1.125+1.43))+2*2*(2.27*2)+0.1*(0.765+0.66+0.77+0.76)*2</f>
        <v>159.8015</v>
      </c>
      <c r="K20" s="98"/>
      <c r="L20" s="195">
        <f>K20*J20</f>
        <v>0</v>
      </c>
      <c r="M20" s="98"/>
      <c r="N20" s="196"/>
    </row>
    <row r="21" spans="1:14" s="23" customFormat="1" x14ac:dyDescent="0.35">
      <c r="A21" s="547"/>
      <c r="B21" s="197"/>
      <c r="C21" s="199"/>
      <c r="D21" s="199"/>
      <c r="E21" s="199"/>
      <c r="F21" s="200"/>
      <c r="G21" s="191"/>
      <c r="H21" s="192" t="s">
        <v>141</v>
      </c>
      <c r="I21" s="193" t="s">
        <v>4</v>
      </c>
      <c r="J21" s="194">
        <f>0.1*(9.1+0.27+0.5+6.29+4.15)*5</f>
        <v>10.155000000000001</v>
      </c>
      <c r="K21" s="98"/>
      <c r="L21" s="195">
        <f>K21*J21</f>
        <v>0</v>
      </c>
      <c r="M21" s="98"/>
      <c r="N21" s="196"/>
    </row>
    <row r="22" spans="1:14" s="23" customFormat="1" x14ac:dyDescent="0.35">
      <c r="A22" s="547"/>
      <c r="B22" s="197"/>
      <c r="C22" s="199"/>
      <c r="D22" s="199"/>
      <c r="E22" s="199"/>
      <c r="F22" s="200"/>
      <c r="G22" s="191"/>
      <c r="H22" s="192"/>
      <c r="I22" s="193"/>
      <c r="J22" s="194"/>
      <c r="K22" s="195"/>
      <c r="L22" s="195"/>
      <c r="M22" s="195"/>
      <c r="N22" s="196"/>
    </row>
    <row r="23" spans="1:14" s="23" customFormat="1" ht="29" x14ac:dyDescent="0.35">
      <c r="A23" s="547"/>
      <c r="B23" s="197"/>
      <c r="C23" s="199"/>
      <c r="D23" s="199"/>
      <c r="E23" s="199"/>
      <c r="F23" s="200"/>
      <c r="G23" s="191" t="s">
        <v>14</v>
      </c>
      <c r="H23" s="192" t="s">
        <v>338</v>
      </c>
      <c r="I23" s="193" t="s">
        <v>4</v>
      </c>
      <c r="J23" s="194">
        <v>6.74</v>
      </c>
      <c r="K23" s="98"/>
      <c r="L23" s="195">
        <f>K23*J23</f>
        <v>0</v>
      </c>
      <c r="M23" s="98"/>
      <c r="N23" s="410" t="s">
        <v>346</v>
      </c>
    </row>
    <row r="24" spans="1:14" x14ac:dyDescent="0.35">
      <c r="A24" s="547"/>
      <c r="B24" s="197"/>
      <c r="C24" s="199"/>
      <c r="D24" s="199"/>
      <c r="E24" s="199"/>
      <c r="F24" s="200"/>
      <c r="G24" s="191"/>
      <c r="H24" s="192"/>
      <c r="I24" s="193"/>
      <c r="J24" s="194"/>
      <c r="K24" s="195"/>
      <c r="L24" s="195"/>
      <c r="M24" s="195"/>
      <c r="N24" s="196"/>
    </row>
    <row r="25" spans="1:14" s="23" customFormat="1" x14ac:dyDescent="0.35">
      <c r="A25" s="547"/>
      <c r="B25" s="197"/>
      <c r="C25" s="199"/>
      <c r="D25" s="199"/>
      <c r="E25" s="199"/>
      <c r="F25" s="200"/>
      <c r="G25" s="200" t="s">
        <v>17</v>
      </c>
      <c r="H25" s="192" t="s">
        <v>58</v>
      </c>
      <c r="I25" s="193" t="s">
        <v>6</v>
      </c>
      <c r="J25" s="194">
        <v>11</v>
      </c>
      <c r="K25" s="98"/>
      <c r="L25" s="195">
        <f>K25*J25</f>
        <v>0</v>
      </c>
      <c r="M25" s="98"/>
      <c r="N25" s="196" t="s">
        <v>224</v>
      </c>
    </row>
    <row r="26" spans="1:14" x14ac:dyDescent="0.35">
      <c r="A26" s="547"/>
      <c r="B26" s="197"/>
      <c r="C26" s="199"/>
      <c r="D26" s="199"/>
      <c r="E26" s="199"/>
      <c r="F26" s="200"/>
      <c r="G26" s="200"/>
      <c r="H26" s="192"/>
      <c r="I26" s="193"/>
      <c r="J26" s="194"/>
      <c r="K26" s="195"/>
      <c r="L26" s="195"/>
      <c r="M26" s="195"/>
      <c r="N26" s="196"/>
    </row>
    <row r="27" spans="1:14" ht="15.5" x14ac:dyDescent="0.35">
      <c r="A27" s="547"/>
      <c r="B27" s="429"/>
      <c r="C27" s="203"/>
      <c r="D27" s="203"/>
      <c r="E27" s="203"/>
      <c r="F27" s="204"/>
      <c r="G27" s="205"/>
      <c r="H27" s="206" t="s">
        <v>211</v>
      </c>
      <c r="I27" s="207"/>
      <c r="J27" s="208"/>
      <c r="K27" s="209"/>
      <c r="L27" s="210">
        <f>SUM(L15:L25)</f>
        <v>0</v>
      </c>
      <c r="M27" s="210">
        <f>SUM(M15:M25)</f>
        <v>0</v>
      </c>
      <c r="N27" s="211"/>
    </row>
    <row r="28" spans="1:14" s="23" customFormat="1" x14ac:dyDescent="0.35">
      <c r="A28" s="547"/>
      <c r="B28" s="197"/>
      <c r="C28" s="199"/>
      <c r="D28" s="199"/>
      <c r="E28" s="199"/>
      <c r="F28" s="199"/>
      <c r="G28" s="199"/>
      <c r="H28" s="222"/>
      <c r="I28" s="222"/>
      <c r="J28" s="223"/>
      <c r="K28" s="222"/>
      <c r="L28" s="222"/>
      <c r="M28" s="222"/>
      <c r="N28" s="196"/>
    </row>
    <row r="29" spans="1:14" s="23" customFormat="1" ht="18.5" customHeight="1" x14ac:dyDescent="0.35">
      <c r="A29" s="547"/>
      <c r="B29" s="216"/>
      <c r="C29" s="188" t="s">
        <v>10</v>
      </c>
      <c r="D29" s="188" t="s">
        <v>40</v>
      </c>
      <c r="E29" s="189"/>
      <c r="F29" s="190" t="s">
        <v>103</v>
      </c>
      <c r="G29" s="191" t="s">
        <v>11</v>
      </c>
      <c r="H29" s="192" t="s">
        <v>278</v>
      </c>
      <c r="I29" s="193" t="s">
        <v>4</v>
      </c>
      <c r="J29" s="194">
        <f>5.8*5*0.1</f>
        <v>2.9000000000000004</v>
      </c>
      <c r="K29" s="98"/>
      <c r="L29" s="195">
        <f>K29*J29</f>
        <v>0</v>
      </c>
      <c r="M29" s="98"/>
      <c r="N29" s="196" t="s">
        <v>292</v>
      </c>
    </row>
    <row r="30" spans="1:14" s="23" customFormat="1" ht="18.5" x14ac:dyDescent="0.35">
      <c r="A30" s="547"/>
      <c r="B30" s="217"/>
      <c r="C30" s="218"/>
      <c r="D30" s="218"/>
      <c r="E30" s="219"/>
      <c r="F30" s="220"/>
      <c r="G30" s="191"/>
      <c r="H30" s="192" t="s">
        <v>229</v>
      </c>
      <c r="I30" s="193" t="s">
        <v>4</v>
      </c>
      <c r="J30" s="194">
        <f>9*4.7+4*0.1*(4.48+2.3+0.385)+0.1*2*(4.48+2.3)</f>
        <v>46.522000000000006</v>
      </c>
      <c r="K30" s="98"/>
      <c r="L30" s="195">
        <f>K30*J30</f>
        <v>0</v>
      </c>
      <c r="M30" s="98"/>
      <c r="N30" s="196" t="s">
        <v>292</v>
      </c>
    </row>
    <row r="31" spans="1:14" s="23" customFormat="1" ht="18.5" x14ac:dyDescent="0.35">
      <c r="A31" s="547"/>
      <c r="B31" s="197"/>
      <c r="C31" s="198"/>
      <c r="D31" s="198"/>
      <c r="E31" s="199"/>
      <c r="F31" s="200"/>
      <c r="G31" s="191"/>
      <c r="H31" s="192" t="s">
        <v>232</v>
      </c>
      <c r="I31" s="193" t="s">
        <v>4</v>
      </c>
      <c r="J31" s="194">
        <f>0.1*(4.48+2.3+0.385)+(0.78+0.53)*0.1+5*0.1*(0.685+0.795+0.7+1.215+0.505+0.28+0.885+1.005+1.165+1.125+0.79+0.79)+4*0.07*(0.775+0.885+0.855+0.785+1.285+0.615+0.37)+2.27*2</f>
        <v>11.9171</v>
      </c>
      <c r="K31" s="98"/>
      <c r="L31" s="195">
        <f>K31*J31</f>
        <v>0</v>
      </c>
      <c r="M31" s="98"/>
      <c r="N31" s="196" t="s">
        <v>292</v>
      </c>
    </row>
    <row r="32" spans="1:14" s="23" customFormat="1" ht="58" x14ac:dyDescent="0.35">
      <c r="A32" s="547"/>
      <c r="B32" s="197"/>
      <c r="C32" s="199"/>
      <c r="D32" s="199"/>
      <c r="E32" s="199"/>
      <c r="F32" s="200"/>
      <c r="G32" s="191"/>
      <c r="H32" s="221" t="s">
        <v>348</v>
      </c>
      <c r="I32" s="193"/>
      <c r="J32" s="194"/>
      <c r="K32" s="195"/>
      <c r="L32" s="195"/>
      <c r="M32" s="195"/>
      <c r="N32" s="196"/>
    </row>
    <row r="33" spans="1:14" s="23" customFormat="1" x14ac:dyDescent="0.35">
      <c r="A33" s="547"/>
      <c r="B33" s="197"/>
      <c r="C33" s="199"/>
      <c r="D33" s="199"/>
      <c r="E33" s="199"/>
      <c r="F33" s="200"/>
      <c r="G33" s="191" t="s">
        <v>13</v>
      </c>
      <c r="H33" s="192" t="s">
        <v>114</v>
      </c>
      <c r="I33" s="193" t="s">
        <v>4</v>
      </c>
      <c r="J33" s="194">
        <f>0.1*(4.7+4.48+2.3+0.385)+0.1*(4.48+2.3)+4.7*10+2*5*0.1*(0.685+0.795+0.7+1.215+0.505+0.28+0.885+1.005+1.165+1.125+0.79+0.79)</f>
        <v>58.804499999999997</v>
      </c>
      <c r="K33" s="98"/>
      <c r="L33" s="195">
        <f>K33*J33</f>
        <v>0</v>
      </c>
      <c r="M33" s="98"/>
      <c r="N33" s="196" t="s">
        <v>256</v>
      </c>
    </row>
    <row r="34" spans="1:14" s="23" customFormat="1" x14ac:dyDescent="0.35">
      <c r="A34" s="547"/>
      <c r="B34" s="197"/>
      <c r="C34" s="199"/>
      <c r="D34" s="199"/>
      <c r="E34" s="199"/>
      <c r="F34" s="200"/>
      <c r="G34" s="191"/>
      <c r="H34" s="192" t="s">
        <v>65</v>
      </c>
      <c r="I34" s="193" t="s">
        <v>4</v>
      </c>
      <c r="J34" s="194">
        <f>0.1*(4.7+4.48+2.3+0.385)+0.1*(4.48+2.3)+4.7*10+2*5*0.1*(0.685+0.795+0.7+1.215+0.505+0.28+0.885+1.005+1.165+1.125+0.79+0.79)+0.1*(5.8+4.48+2.3+0.385)*5</f>
        <v>65.286999999999992</v>
      </c>
      <c r="K34" s="98"/>
      <c r="L34" s="195">
        <f>K34*J34</f>
        <v>0</v>
      </c>
      <c r="M34" s="98"/>
      <c r="N34" s="196"/>
    </row>
    <row r="35" spans="1:14" s="23" customFormat="1" x14ac:dyDescent="0.35">
      <c r="A35" s="547"/>
      <c r="B35" s="197"/>
      <c r="C35" s="199"/>
      <c r="D35" s="199"/>
      <c r="E35" s="199"/>
      <c r="F35" s="200"/>
      <c r="G35" s="191"/>
      <c r="H35" s="192" t="s">
        <v>141</v>
      </c>
      <c r="I35" s="193" t="s">
        <v>4</v>
      </c>
      <c r="J35" s="194">
        <f>0.1*(5.8+4.48+2.3+0.385)*5</f>
        <v>6.4825000000000008</v>
      </c>
      <c r="K35" s="98"/>
      <c r="L35" s="195">
        <f>K35*J35</f>
        <v>0</v>
      </c>
      <c r="M35" s="98"/>
      <c r="N35" s="196"/>
    </row>
    <row r="36" spans="1:14" s="23" customFormat="1" x14ac:dyDescent="0.35">
      <c r="A36" s="547"/>
      <c r="B36" s="197"/>
      <c r="C36" s="199"/>
      <c r="D36" s="199"/>
      <c r="E36" s="199"/>
      <c r="F36" s="200"/>
      <c r="G36" s="191"/>
      <c r="H36" s="192"/>
      <c r="I36" s="193"/>
      <c r="J36" s="194"/>
      <c r="K36" s="195"/>
      <c r="L36" s="195"/>
      <c r="M36" s="195"/>
      <c r="N36" s="196"/>
    </row>
    <row r="37" spans="1:14" s="23" customFormat="1" ht="29" x14ac:dyDescent="0.35">
      <c r="A37" s="547"/>
      <c r="B37" s="197"/>
      <c r="C37" s="199"/>
      <c r="D37" s="199"/>
      <c r="E37" s="199"/>
      <c r="F37" s="200"/>
      <c r="G37" s="191" t="s">
        <v>14</v>
      </c>
      <c r="H37" s="192" t="s">
        <v>338</v>
      </c>
      <c r="I37" s="193" t="s">
        <v>4</v>
      </c>
      <c r="J37" s="194">
        <v>3.99</v>
      </c>
      <c r="K37" s="98"/>
      <c r="L37" s="195">
        <f>K37*J37</f>
        <v>0</v>
      </c>
      <c r="M37" s="98"/>
      <c r="N37" s="410" t="s">
        <v>346</v>
      </c>
    </row>
    <row r="38" spans="1:14" s="23" customFormat="1" x14ac:dyDescent="0.35">
      <c r="A38" s="547"/>
      <c r="B38" s="197"/>
      <c r="C38" s="199"/>
      <c r="D38" s="199"/>
      <c r="E38" s="199"/>
      <c r="F38" s="200"/>
      <c r="G38" s="191"/>
      <c r="H38" s="192"/>
      <c r="I38" s="193"/>
      <c r="J38" s="194"/>
      <c r="K38" s="195"/>
      <c r="L38" s="195"/>
      <c r="M38" s="195"/>
      <c r="N38" s="196"/>
    </row>
    <row r="39" spans="1:14" s="23" customFormat="1" x14ac:dyDescent="0.35">
      <c r="A39" s="547"/>
      <c r="B39" s="197"/>
      <c r="C39" s="199"/>
      <c r="D39" s="199"/>
      <c r="E39" s="199"/>
      <c r="F39" s="200"/>
      <c r="G39" s="200" t="s">
        <v>17</v>
      </c>
      <c r="H39" s="192" t="s">
        <v>58</v>
      </c>
      <c r="I39" s="193" t="s">
        <v>6</v>
      </c>
      <c r="J39" s="194">
        <v>6</v>
      </c>
      <c r="K39" s="98"/>
      <c r="L39" s="195">
        <f>K39*J39</f>
        <v>0</v>
      </c>
      <c r="M39" s="98" t="s">
        <v>62</v>
      </c>
      <c r="N39" s="196" t="s">
        <v>224</v>
      </c>
    </row>
    <row r="40" spans="1:14" s="23" customFormat="1" x14ac:dyDescent="0.35">
      <c r="A40" s="547"/>
      <c r="B40" s="197"/>
      <c r="C40" s="199"/>
      <c r="D40" s="199"/>
      <c r="E40" s="199"/>
      <c r="F40" s="200"/>
      <c r="G40" s="200"/>
      <c r="H40" s="192"/>
      <c r="I40" s="193"/>
      <c r="J40" s="194"/>
      <c r="K40" s="195"/>
      <c r="L40" s="195"/>
      <c r="M40" s="195"/>
      <c r="N40" s="196"/>
    </row>
    <row r="41" spans="1:14" s="23" customFormat="1" ht="15.5" x14ac:dyDescent="0.35">
      <c r="A41" s="547"/>
      <c r="B41" s="429"/>
      <c r="C41" s="203"/>
      <c r="D41" s="203"/>
      <c r="E41" s="203"/>
      <c r="F41" s="204"/>
      <c r="G41" s="205"/>
      <c r="H41" s="206" t="s">
        <v>211</v>
      </c>
      <c r="I41" s="207"/>
      <c r="J41" s="208"/>
      <c r="K41" s="209"/>
      <c r="L41" s="210">
        <f>SUM(L29:L39)</f>
        <v>0</v>
      </c>
      <c r="M41" s="210">
        <f>SUM(M29:M39)</f>
        <v>0</v>
      </c>
      <c r="N41" s="211"/>
    </row>
    <row r="42" spans="1:14" s="23" customFormat="1" ht="15.5" x14ac:dyDescent="0.35">
      <c r="A42" s="547"/>
      <c r="B42" s="197"/>
      <c r="C42" s="199"/>
      <c r="D42" s="199"/>
      <c r="E42" s="199"/>
      <c r="F42" s="411"/>
      <c r="G42" s="412"/>
      <c r="H42" s="430"/>
      <c r="I42" s="413"/>
      <c r="J42" s="414"/>
      <c r="K42" s="415"/>
      <c r="L42" s="431"/>
      <c r="M42" s="431"/>
      <c r="N42" s="196"/>
    </row>
    <row r="43" spans="1:14" ht="15" customHeight="1" x14ac:dyDescent="0.35">
      <c r="A43" s="547"/>
      <c r="B43" s="216"/>
      <c r="C43" s="188" t="s">
        <v>10</v>
      </c>
      <c r="D43" s="188" t="s">
        <v>42</v>
      </c>
      <c r="E43" s="189"/>
      <c r="F43" s="190" t="s">
        <v>104</v>
      </c>
      <c r="G43" s="191" t="s">
        <v>12</v>
      </c>
      <c r="H43" s="192" t="s">
        <v>287</v>
      </c>
      <c r="I43" s="193" t="s">
        <v>5</v>
      </c>
      <c r="J43" s="194">
        <f>2*(0.4+2.4)</f>
        <v>5.6</v>
      </c>
      <c r="K43" s="100"/>
      <c r="L43" s="195">
        <f>K43*J43</f>
        <v>0</v>
      </c>
      <c r="M43" s="98"/>
      <c r="N43" s="196"/>
    </row>
    <row r="44" spans="1:14" s="23" customFormat="1" ht="15" customHeight="1" x14ac:dyDescent="0.35">
      <c r="A44" s="547"/>
      <c r="B44" s="217"/>
      <c r="C44" s="218"/>
      <c r="D44" s="218"/>
      <c r="E44" s="219"/>
      <c r="F44" s="220"/>
      <c r="G44" s="191"/>
      <c r="H44" s="192" t="s">
        <v>279</v>
      </c>
      <c r="I44" s="193" t="s">
        <v>4</v>
      </c>
      <c r="J44" s="194">
        <f>0.3*2.5*2+0.3*0.5*2+0.5*2.5+4*0.5*0.05</f>
        <v>3.15</v>
      </c>
      <c r="K44" s="100"/>
      <c r="L44" s="195">
        <f>K44*J44</f>
        <v>0</v>
      </c>
      <c r="M44" s="98"/>
      <c r="N44" s="432" t="s">
        <v>341</v>
      </c>
    </row>
    <row r="45" spans="1:14" x14ac:dyDescent="0.35">
      <c r="A45" s="547"/>
      <c r="B45" s="197"/>
      <c r="C45" s="199"/>
      <c r="D45" s="199"/>
      <c r="E45" s="199"/>
      <c r="F45" s="200"/>
      <c r="G45" s="200"/>
      <c r="H45" s="192"/>
      <c r="I45" s="193"/>
      <c r="J45" s="194"/>
      <c r="K45" s="195"/>
      <c r="L45" s="195"/>
      <c r="M45" s="195"/>
      <c r="N45" s="196"/>
    </row>
    <row r="46" spans="1:14" ht="15.5" x14ac:dyDescent="0.35">
      <c r="A46" s="547"/>
      <c r="B46" s="429"/>
      <c r="C46" s="203"/>
      <c r="D46" s="203"/>
      <c r="E46" s="203"/>
      <c r="F46" s="204"/>
      <c r="G46" s="205"/>
      <c r="H46" s="206" t="s">
        <v>211</v>
      </c>
      <c r="I46" s="207"/>
      <c r="J46" s="208"/>
      <c r="K46" s="209"/>
      <c r="L46" s="210">
        <f>SUM(L43:L44)</f>
        <v>0</v>
      </c>
      <c r="M46" s="210">
        <f>SUM(M43:M44)</f>
        <v>0</v>
      </c>
      <c r="N46" s="211"/>
    </row>
    <row r="47" spans="1:14" ht="15" thickBot="1" x14ac:dyDescent="0.4">
      <c r="A47" s="547"/>
      <c r="B47" s="197"/>
      <c r="C47" s="199"/>
      <c r="D47" s="199"/>
      <c r="E47" s="199"/>
      <c r="F47" s="199"/>
      <c r="G47" s="199"/>
      <c r="H47" s="222"/>
      <c r="I47" s="222"/>
      <c r="J47" s="223"/>
      <c r="K47" s="222"/>
      <c r="L47" s="222"/>
      <c r="M47" s="222"/>
      <c r="N47" s="196"/>
    </row>
    <row r="48" spans="1:14" ht="19" thickBot="1" x14ac:dyDescent="0.4">
      <c r="A48" s="547"/>
      <c r="B48" s="526" t="s">
        <v>18</v>
      </c>
      <c r="C48" s="526"/>
      <c r="D48" s="526"/>
      <c r="E48" s="526"/>
      <c r="F48" s="526"/>
      <c r="G48" s="224"/>
      <c r="H48" s="224" t="s">
        <v>211</v>
      </c>
      <c r="I48" s="225"/>
      <c r="J48" s="226"/>
      <c r="K48" s="227"/>
      <c r="L48" s="228">
        <f>L27+L41+L46</f>
        <v>0</v>
      </c>
      <c r="M48" s="229">
        <f>M27+M41+M46</f>
        <v>0</v>
      </c>
      <c r="N48" s="196"/>
    </row>
    <row r="49" spans="1:14" ht="19" thickBot="1" x14ac:dyDescent="0.4">
      <c r="A49" s="548"/>
      <c r="B49" s="230"/>
      <c r="C49" s="231"/>
      <c r="D49" s="231"/>
      <c r="E49" s="232"/>
      <c r="F49" s="233"/>
      <c r="G49" s="233"/>
      <c r="H49" s="234"/>
      <c r="I49" s="235"/>
      <c r="J49" s="236"/>
      <c r="K49" s="237"/>
      <c r="L49" s="238"/>
      <c r="M49" s="239"/>
      <c r="N49" s="240"/>
    </row>
    <row r="50" spans="1:14" ht="18.5" x14ac:dyDescent="0.35">
      <c r="A50" s="538" t="s">
        <v>20</v>
      </c>
      <c r="B50" s="197"/>
      <c r="C50" s="198"/>
      <c r="D50" s="198"/>
      <c r="E50" s="199"/>
      <c r="F50" s="200"/>
      <c r="G50" s="200"/>
      <c r="H50" s="222"/>
      <c r="I50" s="193"/>
      <c r="J50" s="194"/>
      <c r="K50" s="195"/>
      <c r="L50" s="195"/>
      <c r="M50" s="195"/>
      <c r="N50" s="186"/>
    </row>
    <row r="51" spans="1:14" ht="18.5" x14ac:dyDescent="0.35">
      <c r="A51" s="539"/>
      <c r="B51" s="216"/>
      <c r="C51" s="188" t="s">
        <v>19</v>
      </c>
      <c r="D51" s="188" t="s">
        <v>39</v>
      </c>
      <c r="E51" s="189"/>
      <c r="F51" s="190" t="s">
        <v>143</v>
      </c>
      <c r="G51" s="191"/>
      <c r="H51" s="192" t="s">
        <v>22</v>
      </c>
      <c r="I51" s="193" t="s">
        <v>4</v>
      </c>
      <c r="J51" s="194">
        <f>2*(2.27*1.1)</f>
        <v>4.9940000000000007</v>
      </c>
      <c r="K51" s="98"/>
      <c r="L51" s="195">
        <f>K51*J51</f>
        <v>0</v>
      </c>
      <c r="M51" s="98"/>
      <c r="N51" s="196"/>
    </row>
    <row r="52" spans="1:14" x14ac:dyDescent="0.35">
      <c r="A52" s="539"/>
      <c r="B52" s="197"/>
      <c r="C52" s="199"/>
      <c r="D52" s="199"/>
      <c r="E52" s="199"/>
      <c r="F52" s="200"/>
      <c r="G52" s="200"/>
      <c r="H52" s="192"/>
      <c r="I52" s="193"/>
      <c r="J52" s="194"/>
      <c r="K52" s="195"/>
      <c r="L52" s="195"/>
      <c r="M52" s="195"/>
      <c r="N52" s="196"/>
    </row>
    <row r="53" spans="1:14" ht="15.5" x14ac:dyDescent="0.35">
      <c r="A53" s="539"/>
      <c r="B53" s="429"/>
      <c r="C53" s="203"/>
      <c r="D53" s="203"/>
      <c r="E53" s="203"/>
      <c r="F53" s="204"/>
      <c r="G53" s="205"/>
      <c r="H53" s="206" t="s">
        <v>211</v>
      </c>
      <c r="I53" s="207"/>
      <c r="J53" s="208"/>
      <c r="K53" s="209"/>
      <c r="L53" s="210">
        <f>SUM(L51:L51)</f>
        <v>0</v>
      </c>
      <c r="M53" s="210">
        <f>SUM(M51:M51)</f>
        <v>0</v>
      </c>
      <c r="N53" s="211"/>
    </row>
    <row r="54" spans="1:14" s="23" customFormat="1" ht="15.5" x14ac:dyDescent="0.35">
      <c r="A54" s="539"/>
      <c r="B54" s="197"/>
      <c r="C54" s="199"/>
      <c r="D54" s="199"/>
      <c r="E54" s="199"/>
      <c r="F54" s="411"/>
      <c r="G54" s="412"/>
      <c r="H54" s="430"/>
      <c r="I54" s="413"/>
      <c r="J54" s="414"/>
      <c r="K54" s="415"/>
      <c r="L54" s="431"/>
      <c r="M54" s="431"/>
      <c r="N54" s="196"/>
    </row>
    <row r="55" spans="1:14" s="23" customFormat="1" ht="18.5" x14ac:dyDescent="0.35">
      <c r="A55" s="539"/>
      <c r="B55" s="216"/>
      <c r="C55" s="188" t="s">
        <v>19</v>
      </c>
      <c r="D55" s="188" t="s">
        <v>40</v>
      </c>
      <c r="E55" s="189"/>
      <c r="F55" s="190" t="s">
        <v>122</v>
      </c>
      <c r="G55" s="191"/>
      <c r="H55" s="192" t="s">
        <v>22</v>
      </c>
      <c r="I55" s="193" t="s">
        <v>4</v>
      </c>
      <c r="J55" s="194">
        <f>2.27*1.1</f>
        <v>2.4970000000000003</v>
      </c>
      <c r="K55" s="98"/>
      <c r="L55" s="195">
        <f>K55*J55</f>
        <v>0</v>
      </c>
      <c r="M55" s="98"/>
      <c r="N55" s="196"/>
    </row>
    <row r="56" spans="1:14" s="23" customFormat="1" x14ac:dyDescent="0.35">
      <c r="A56" s="539"/>
      <c r="B56" s="197"/>
      <c r="C56" s="199"/>
      <c r="D56" s="199"/>
      <c r="E56" s="199"/>
      <c r="F56" s="200"/>
      <c r="G56" s="200"/>
      <c r="H56" s="192"/>
      <c r="I56" s="193"/>
      <c r="J56" s="194"/>
      <c r="K56" s="195"/>
      <c r="L56" s="195"/>
      <c r="M56" s="195"/>
      <c r="N56" s="196"/>
    </row>
    <row r="57" spans="1:14" s="23" customFormat="1" ht="15.5" x14ac:dyDescent="0.35">
      <c r="A57" s="539"/>
      <c r="B57" s="429"/>
      <c r="C57" s="203"/>
      <c r="D57" s="203"/>
      <c r="E57" s="203"/>
      <c r="F57" s="204"/>
      <c r="G57" s="205"/>
      <c r="H57" s="206" t="s">
        <v>211</v>
      </c>
      <c r="I57" s="207"/>
      <c r="J57" s="208"/>
      <c r="K57" s="209"/>
      <c r="L57" s="210">
        <f>SUM(L55:L55)</f>
        <v>0</v>
      </c>
      <c r="M57" s="210">
        <f>SUM(M55:M55)</f>
        <v>0</v>
      </c>
      <c r="N57" s="211"/>
    </row>
    <row r="58" spans="1:14" s="23" customFormat="1" x14ac:dyDescent="0.35">
      <c r="A58" s="539"/>
      <c r="B58" s="162"/>
      <c r="C58" s="163"/>
      <c r="D58" s="163"/>
      <c r="E58" s="163"/>
      <c r="F58" s="199"/>
      <c r="G58" s="199"/>
      <c r="H58" s="222"/>
      <c r="I58" s="222"/>
      <c r="J58" s="223"/>
      <c r="K58" s="222"/>
      <c r="L58" s="222"/>
      <c r="M58" s="222"/>
      <c r="N58" s="196"/>
    </row>
    <row r="59" spans="1:14" s="23" customFormat="1" ht="29" x14ac:dyDescent="0.35">
      <c r="A59" s="539"/>
      <c r="B59" s="216"/>
      <c r="C59" s="188" t="s">
        <v>19</v>
      </c>
      <c r="D59" s="188" t="s">
        <v>42</v>
      </c>
      <c r="E59" s="245"/>
      <c r="F59" s="248" t="s">
        <v>193</v>
      </c>
      <c r="G59" s="246"/>
      <c r="H59" s="249" t="s">
        <v>234</v>
      </c>
      <c r="I59" s="242" t="s">
        <v>6</v>
      </c>
      <c r="J59" s="243">
        <v>50</v>
      </c>
      <c r="K59" s="98"/>
      <c r="L59" s="195">
        <f>K59*J59</f>
        <v>0</v>
      </c>
      <c r="M59" s="98"/>
      <c r="N59" s="196" t="s">
        <v>327</v>
      </c>
    </row>
    <row r="60" spans="1:14" s="23" customFormat="1" x14ac:dyDescent="0.35">
      <c r="A60" s="539"/>
      <c r="B60" s="162"/>
      <c r="C60" s="163"/>
      <c r="D60" s="163"/>
      <c r="E60" s="163"/>
      <c r="F60" s="241"/>
      <c r="G60" s="241"/>
      <c r="H60" s="247"/>
      <c r="I60" s="242"/>
      <c r="J60" s="243"/>
      <c r="K60" s="244"/>
      <c r="L60" s="244"/>
      <c r="M60" s="244"/>
      <c r="N60" s="196"/>
    </row>
    <row r="61" spans="1:14" s="23" customFormat="1" ht="15.5" x14ac:dyDescent="0.35">
      <c r="A61" s="539"/>
      <c r="B61" s="429"/>
      <c r="C61" s="203"/>
      <c r="D61" s="203"/>
      <c r="E61" s="203"/>
      <c r="F61" s="204"/>
      <c r="G61" s="205"/>
      <c r="H61" s="206" t="s">
        <v>211</v>
      </c>
      <c r="I61" s="207"/>
      <c r="J61" s="208"/>
      <c r="K61" s="209"/>
      <c r="L61" s="210">
        <f>SUM(L59)</f>
        <v>0</v>
      </c>
      <c r="M61" s="210">
        <f>SUM(M59)</f>
        <v>0</v>
      </c>
      <c r="N61" s="211"/>
    </row>
    <row r="62" spans="1:14" ht="15" thickBot="1" x14ac:dyDescent="0.4">
      <c r="A62" s="539"/>
      <c r="B62" s="197"/>
      <c r="C62" s="199"/>
      <c r="D62" s="199"/>
      <c r="E62" s="199"/>
      <c r="F62" s="199"/>
      <c r="G62" s="199"/>
      <c r="H62" s="222"/>
      <c r="I62" s="222"/>
      <c r="J62" s="223"/>
      <c r="K62" s="222"/>
      <c r="L62" s="222"/>
      <c r="M62" s="222"/>
      <c r="N62" s="196"/>
    </row>
    <row r="63" spans="1:14" ht="19" thickBot="1" x14ac:dyDescent="0.4">
      <c r="A63" s="539"/>
      <c r="B63" s="526" t="s">
        <v>23</v>
      </c>
      <c r="C63" s="527"/>
      <c r="D63" s="527"/>
      <c r="E63" s="527"/>
      <c r="F63" s="527"/>
      <c r="G63" s="224"/>
      <c r="H63" s="224" t="s">
        <v>211</v>
      </c>
      <c r="I63" s="225"/>
      <c r="J63" s="226"/>
      <c r="K63" s="227"/>
      <c r="L63" s="228">
        <f>L53+L57+L61</f>
        <v>0</v>
      </c>
      <c r="M63" s="229">
        <f>M53+M57+M61</f>
        <v>0</v>
      </c>
      <c r="N63" s="196"/>
    </row>
    <row r="64" spans="1:14" ht="19" thickBot="1" x14ac:dyDescent="0.4">
      <c r="A64" s="540"/>
      <c r="B64" s="230"/>
      <c r="C64" s="231"/>
      <c r="D64" s="231"/>
      <c r="E64" s="232"/>
      <c r="F64" s="233"/>
      <c r="G64" s="233"/>
      <c r="H64" s="234"/>
      <c r="I64" s="235"/>
      <c r="J64" s="236"/>
      <c r="K64" s="237"/>
      <c r="L64" s="238"/>
      <c r="M64" s="239"/>
      <c r="N64" s="240"/>
    </row>
    <row r="65" spans="1:14" ht="18.5" hidden="1" x14ac:dyDescent="0.35">
      <c r="A65" s="549" t="s">
        <v>25</v>
      </c>
      <c r="B65" s="26"/>
      <c r="C65" s="103"/>
      <c r="D65" s="103"/>
      <c r="E65" s="27"/>
      <c r="F65" s="28"/>
      <c r="G65" s="28"/>
      <c r="H65" s="29"/>
      <c r="I65" s="30"/>
      <c r="J65" s="134"/>
      <c r="K65" s="135"/>
      <c r="L65" s="135"/>
      <c r="M65" s="83"/>
      <c r="N65" s="80"/>
    </row>
    <row r="66" spans="1:14" ht="18.5" hidden="1" x14ac:dyDescent="0.35">
      <c r="A66" s="550"/>
      <c r="B66" s="65"/>
      <c r="C66" s="32" t="s">
        <v>26</v>
      </c>
      <c r="D66" s="32" t="s">
        <v>35</v>
      </c>
      <c r="E66" s="33"/>
      <c r="F66" s="34" t="s">
        <v>240</v>
      </c>
      <c r="G66" s="35"/>
      <c r="H66" s="94"/>
      <c r="I66" s="37" t="s">
        <v>6</v>
      </c>
      <c r="J66" s="109"/>
      <c r="K66" s="101">
        <v>0</v>
      </c>
      <c r="L66" s="101">
        <f>K66*J66</f>
        <v>0</v>
      </c>
      <c r="M66" s="82">
        <v>0</v>
      </c>
      <c r="N66" s="78"/>
    </row>
    <row r="67" spans="1:14" hidden="1" x14ac:dyDescent="0.35">
      <c r="A67" s="550"/>
      <c r="B67" s="43"/>
      <c r="C67" s="45"/>
      <c r="D67" s="45"/>
      <c r="E67" s="45"/>
      <c r="F67" s="46"/>
      <c r="G67" s="46"/>
      <c r="H67" s="94"/>
      <c r="I67" s="37"/>
      <c r="J67" s="109"/>
      <c r="K67" s="111"/>
      <c r="L67" s="111"/>
      <c r="M67" s="84"/>
      <c r="N67" s="78"/>
    </row>
    <row r="68" spans="1:14" ht="15.5" hidden="1" x14ac:dyDescent="0.35">
      <c r="A68" s="550"/>
      <c r="B68" s="132"/>
      <c r="C68" s="48"/>
      <c r="D68" s="48"/>
      <c r="E68" s="48"/>
      <c r="F68" s="49"/>
      <c r="G68" s="50"/>
      <c r="H68" s="117" t="s">
        <v>211</v>
      </c>
      <c r="I68" s="51"/>
      <c r="J68" s="52"/>
      <c r="K68" s="85"/>
      <c r="L68" s="86">
        <f>SUM(L66:L66)</f>
        <v>0</v>
      </c>
      <c r="M68" s="86">
        <f>SUM(M66:M66)</f>
        <v>0</v>
      </c>
      <c r="N68" s="128"/>
    </row>
    <row r="69" spans="1:14" hidden="1" x14ac:dyDescent="0.35">
      <c r="A69" s="550"/>
      <c r="B69" s="43"/>
      <c r="C69" s="45"/>
      <c r="D69" s="45"/>
      <c r="E69" s="45"/>
      <c r="F69" s="45"/>
      <c r="G69" s="45"/>
      <c r="H69" s="53"/>
      <c r="I69" s="53"/>
      <c r="J69" s="54"/>
      <c r="K69" s="53"/>
      <c r="L69" s="53"/>
      <c r="M69" s="53"/>
      <c r="N69" s="78"/>
    </row>
    <row r="70" spans="1:14" ht="15" hidden="1" thickBot="1" x14ac:dyDescent="0.4">
      <c r="A70" s="550"/>
      <c r="B70" s="43"/>
      <c r="C70" s="45"/>
      <c r="D70" s="45"/>
      <c r="E70" s="45"/>
      <c r="F70" s="45"/>
      <c r="G70" s="45"/>
      <c r="H70" s="53"/>
      <c r="I70" s="53"/>
      <c r="J70" s="54"/>
      <c r="K70" s="53"/>
      <c r="L70" s="53"/>
      <c r="M70" s="53"/>
      <c r="N70" s="78"/>
    </row>
    <row r="71" spans="1:14" ht="19" hidden="1" thickBot="1" x14ac:dyDescent="0.4">
      <c r="A71" s="550"/>
      <c r="B71" s="534" t="s">
        <v>24</v>
      </c>
      <c r="C71" s="535"/>
      <c r="D71" s="535"/>
      <c r="E71" s="535"/>
      <c r="F71" s="535"/>
      <c r="G71" s="104"/>
      <c r="H71" s="104" t="s">
        <v>211</v>
      </c>
      <c r="I71" s="56"/>
      <c r="J71" s="57"/>
      <c r="K71" s="87"/>
      <c r="L71" s="88">
        <f>L68</f>
        <v>0</v>
      </c>
      <c r="M71" s="89">
        <f>M68</f>
        <v>0</v>
      </c>
      <c r="N71" s="78"/>
    </row>
    <row r="72" spans="1:14" ht="19" hidden="1" thickBot="1" x14ac:dyDescent="0.4">
      <c r="A72" s="551"/>
      <c r="B72" s="58"/>
      <c r="C72" s="59"/>
      <c r="D72" s="59"/>
      <c r="E72" s="60"/>
      <c r="F72" s="61"/>
      <c r="G72" s="61"/>
      <c r="H72" s="62"/>
      <c r="I72" s="63"/>
      <c r="J72" s="64"/>
      <c r="K72" s="90"/>
      <c r="L72" s="91"/>
      <c r="M72" s="76"/>
      <c r="N72" s="79"/>
    </row>
    <row r="73" spans="1:14" s="9" customFormat="1" ht="18.5" hidden="1" x14ac:dyDescent="0.35">
      <c r="A73" s="552" t="s">
        <v>30</v>
      </c>
      <c r="B73" s="39"/>
      <c r="C73" s="130"/>
      <c r="D73" s="130"/>
      <c r="E73" s="41"/>
      <c r="F73" s="112"/>
      <c r="G73" s="112"/>
      <c r="H73" s="105"/>
      <c r="I73" s="108"/>
      <c r="J73" s="109"/>
      <c r="K73" s="111"/>
      <c r="L73" s="111"/>
      <c r="M73" s="111"/>
      <c r="N73" s="124"/>
    </row>
    <row r="74" spans="1:14" s="9" customFormat="1" ht="18" hidden="1" customHeight="1" x14ac:dyDescent="0.35">
      <c r="A74" s="553"/>
      <c r="B74" s="65"/>
      <c r="C74" s="32" t="s">
        <v>31</v>
      </c>
      <c r="D74" s="32" t="s">
        <v>39</v>
      </c>
      <c r="E74" s="33"/>
      <c r="F74" s="34" t="s">
        <v>239</v>
      </c>
      <c r="G74" s="106"/>
      <c r="H74" s="107"/>
      <c r="I74" s="108" t="s">
        <v>6</v>
      </c>
      <c r="J74" s="109"/>
      <c r="K74" s="101">
        <v>0</v>
      </c>
      <c r="L74" s="101">
        <f>K74*J74</f>
        <v>0</v>
      </c>
      <c r="M74" s="101">
        <v>0</v>
      </c>
      <c r="N74" s="110"/>
    </row>
    <row r="75" spans="1:14" s="9" customFormat="1" hidden="1" x14ac:dyDescent="0.35">
      <c r="A75" s="553"/>
      <c r="B75" s="39"/>
      <c r="C75" s="41"/>
      <c r="D75" s="41"/>
      <c r="E75" s="41"/>
      <c r="F75" s="112"/>
      <c r="G75" s="112"/>
      <c r="H75" s="107"/>
      <c r="I75" s="108"/>
      <c r="J75" s="109"/>
      <c r="K75" s="111"/>
      <c r="L75" s="111"/>
      <c r="M75" s="111"/>
      <c r="N75" s="110"/>
    </row>
    <row r="76" spans="1:14" s="9" customFormat="1" ht="15.5" hidden="1" x14ac:dyDescent="0.35">
      <c r="A76" s="553"/>
      <c r="B76" s="127"/>
      <c r="C76" s="114"/>
      <c r="D76" s="114"/>
      <c r="E76" s="114"/>
      <c r="F76" s="115"/>
      <c r="G76" s="116"/>
      <c r="H76" s="117"/>
      <c r="I76" s="118"/>
      <c r="J76" s="119"/>
      <c r="K76" s="120"/>
      <c r="L76" s="86">
        <f>SUM(L74:L74)</f>
        <v>0</v>
      </c>
      <c r="M76" s="86">
        <f>SUM(M74:M74)</f>
        <v>0</v>
      </c>
      <c r="N76" s="129"/>
    </row>
    <row r="77" spans="1:14" s="9" customFormat="1" ht="15" hidden="1" thickBot="1" x14ac:dyDescent="0.4">
      <c r="A77" s="553"/>
      <c r="B77" s="66"/>
      <c r="C77" s="67"/>
      <c r="D77" s="67"/>
      <c r="E77" s="67"/>
      <c r="F77" s="67"/>
      <c r="G77" s="67"/>
      <c r="H77" s="69"/>
      <c r="I77" s="69"/>
      <c r="J77" s="70"/>
      <c r="K77" s="69"/>
      <c r="L77" s="69"/>
      <c r="M77" s="69"/>
      <c r="N77" s="110"/>
    </row>
    <row r="78" spans="1:14" s="9" customFormat="1" ht="19" hidden="1" thickBot="1" x14ac:dyDescent="0.4">
      <c r="A78" s="553"/>
      <c r="B78" s="534" t="s">
        <v>28</v>
      </c>
      <c r="C78" s="535"/>
      <c r="D78" s="535"/>
      <c r="E78" s="535"/>
      <c r="F78" s="535"/>
      <c r="G78" s="55"/>
      <c r="H78" s="104" t="s">
        <v>211</v>
      </c>
      <c r="I78" s="56"/>
      <c r="J78" s="57"/>
      <c r="K78" s="87"/>
      <c r="L78" s="88">
        <f>L76</f>
        <v>0</v>
      </c>
      <c r="M78" s="89">
        <f>M76</f>
        <v>0</v>
      </c>
      <c r="N78" s="110"/>
    </row>
    <row r="79" spans="1:14" s="9" customFormat="1" ht="19" hidden="1" thickBot="1" x14ac:dyDescent="0.4">
      <c r="A79" s="554"/>
      <c r="B79" s="71"/>
      <c r="C79" s="72"/>
      <c r="D79" s="72"/>
      <c r="E79" s="73"/>
      <c r="F79" s="74"/>
      <c r="G79" s="74"/>
      <c r="H79" s="75"/>
      <c r="I79" s="76"/>
      <c r="J79" s="77"/>
      <c r="K79" s="92"/>
      <c r="L79" s="91"/>
      <c r="M79" s="76"/>
      <c r="N79" s="125"/>
    </row>
    <row r="80" spans="1:14" ht="18.5" hidden="1" x14ac:dyDescent="0.35">
      <c r="A80" s="549" t="s">
        <v>32</v>
      </c>
      <c r="B80" s="26"/>
      <c r="C80" s="103"/>
      <c r="D80" s="103"/>
      <c r="E80" s="27"/>
      <c r="F80" s="28"/>
      <c r="G80" s="28"/>
      <c r="H80" s="29"/>
      <c r="I80" s="30"/>
      <c r="J80" s="31"/>
      <c r="K80" s="83"/>
      <c r="L80" s="83"/>
      <c r="M80" s="83"/>
      <c r="N80" s="124"/>
    </row>
    <row r="81" spans="1:14" ht="18.75" hidden="1" customHeight="1" x14ac:dyDescent="0.35">
      <c r="A81" s="550"/>
      <c r="B81" s="65"/>
      <c r="C81" s="32" t="s">
        <v>33</v>
      </c>
      <c r="D81" s="32" t="s">
        <v>39</v>
      </c>
      <c r="E81" s="33"/>
      <c r="F81" s="34" t="s">
        <v>238</v>
      </c>
      <c r="G81" s="35"/>
      <c r="H81" s="94"/>
      <c r="I81" s="37" t="s">
        <v>6</v>
      </c>
      <c r="J81" s="38"/>
      <c r="K81" s="82">
        <v>0</v>
      </c>
      <c r="L81" s="82">
        <f>K81*J81</f>
        <v>0</v>
      </c>
      <c r="M81" s="82">
        <v>0</v>
      </c>
      <c r="N81" s="78"/>
    </row>
    <row r="82" spans="1:14" hidden="1" x14ac:dyDescent="0.35">
      <c r="A82" s="550"/>
      <c r="B82" s="43"/>
      <c r="C82" s="45"/>
      <c r="D82" s="45"/>
      <c r="E82" s="45"/>
      <c r="F82" s="46"/>
      <c r="G82" s="46"/>
      <c r="H82" s="94"/>
      <c r="I82" s="37"/>
      <c r="J82" s="38"/>
      <c r="K82" s="84"/>
      <c r="L82" s="84"/>
      <c r="M82" s="84"/>
      <c r="N82" s="78"/>
    </row>
    <row r="83" spans="1:14" ht="15.5" hidden="1" x14ac:dyDescent="0.35">
      <c r="A83" s="550"/>
      <c r="B83" s="132"/>
      <c r="C83" s="48"/>
      <c r="D83" s="48"/>
      <c r="E83" s="48"/>
      <c r="F83" s="49"/>
      <c r="G83" s="50"/>
      <c r="H83" s="117" t="s">
        <v>211</v>
      </c>
      <c r="I83" s="51"/>
      <c r="J83" s="52"/>
      <c r="K83" s="85"/>
      <c r="L83" s="86">
        <f>SUM(L81:L81)</f>
        <v>0</v>
      </c>
      <c r="M83" s="86">
        <f>SUM(M81:M81)</f>
        <v>0</v>
      </c>
      <c r="N83" s="128"/>
    </row>
    <row r="84" spans="1:14" ht="15" hidden="1" thickBot="1" x14ac:dyDescent="0.4">
      <c r="A84" s="550"/>
      <c r="B84" s="43"/>
      <c r="C84" s="45"/>
      <c r="D84" s="45"/>
      <c r="E84" s="45"/>
      <c r="F84" s="45"/>
      <c r="G84" s="45"/>
      <c r="H84" s="53"/>
      <c r="I84" s="53"/>
      <c r="J84" s="54"/>
      <c r="K84" s="53"/>
      <c r="L84" s="53"/>
      <c r="M84" s="53"/>
      <c r="N84" s="78"/>
    </row>
    <row r="85" spans="1:14" ht="19" hidden="1" thickBot="1" x14ac:dyDescent="0.4">
      <c r="A85" s="550"/>
      <c r="B85" s="534" t="s">
        <v>29</v>
      </c>
      <c r="C85" s="535"/>
      <c r="D85" s="535"/>
      <c r="E85" s="535"/>
      <c r="F85" s="535"/>
      <c r="G85" s="104"/>
      <c r="H85" s="104" t="s">
        <v>211</v>
      </c>
      <c r="I85" s="56"/>
      <c r="J85" s="57"/>
      <c r="K85" s="87"/>
      <c r="L85" s="88">
        <f>L83</f>
        <v>0</v>
      </c>
      <c r="M85" s="89">
        <f>M83</f>
        <v>0</v>
      </c>
      <c r="N85" s="78"/>
    </row>
    <row r="86" spans="1:14" ht="19" hidden="1" thickBot="1" x14ac:dyDescent="0.4">
      <c r="A86" s="551"/>
      <c r="B86" s="58"/>
      <c r="C86" s="59"/>
      <c r="D86" s="59"/>
      <c r="E86" s="60"/>
      <c r="F86" s="61"/>
      <c r="G86" s="61"/>
      <c r="H86" s="62"/>
      <c r="I86" s="63"/>
      <c r="J86" s="64"/>
      <c r="K86" s="90"/>
      <c r="L86" s="91"/>
      <c r="M86" s="76"/>
      <c r="N86" s="79"/>
    </row>
    <row r="87" spans="1:14" x14ac:dyDescent="0.35">
      <c r="A87" s="10"/>
      <c r="J87" s="12"/>
    </row>
    <row r="88" spans="1:14" x14ac:dyDescent="0.35">
      <c r="A88" s="10"/>
      <c r="J88" s="12"/>
    </row>
    <row r="89" spans="1:14" x14ac:dyDescent="0.35">
      <c r="A89" s="10"/>
      <c r="J89" s="12"/>
    </row>
    <row r="90" spans="1:14" x14ac:dyDescent="0.35">
      <c r="A90" s="10"/>
      <c r="J90" s="12"/>
    </row>
    <row r="91" spans="1:14" x14ac:dyDescent="0.35">
      <c r="A91" s="10"/>
      <c r="J91" s="12"/>
    </row>
    <row r="92" spans="1:14" x14ac:dyDescent="0.35">
      <c r="A92" s="10"/>
      <c r="J92" s="12"/>
    </row>
    <row r="93" spans="1:14" x14ac:dyDescent="0.35">
      <c r="A93" s="10"/>
      <c r="J93" s="12"/>
    </row>
    <row r="94" spans="1:14" x14ac:dyDescent="0.35">
      <c r="A94" s="10"/>
      <c r="J94" s="12"/>
    </row>
    <row r="95" spans="1:14" x14ac:dyDescent="0.35">
      <c r="A95" s="10"/>
      <c r="J95" s="12"/>
    </row>
    <row r="96" spans="1:14" x14ac:dyDescent="0.35">
      <c r="A96" s="10"/>
      <c r="J96" s="12"/>
    </row>
    <row r="97" spans="1:10" x14ac:dyDescent="0.35">
      <c r="A97" s="10"/>
      <c r="J97" s="12"/>
    </row>
    <row r="98" spans="1:10" x14ac:dyDescent="0.35">
      <c r="A98" s="10"/>
      <c r="J98" s="12"/>
    </row>
    <row r="99" spans="1:10" x14ac:dyDescent="0.35">
      <c r="A99" s="10"/>
      <c r="J99" s="12"/>
    </row>
    <row r="100" spans="1:10" x14ac:dyDescent="0.35">
      <c r="A100" s="10"/>
      <c r="J100" s="12"/>
    </row>
    <row r="101" spans="1:10" x14ac:dyDescent="0.35">
      <c r="A101" s="10"/>
      <c r="J101" s="12"/>
    </row>
    <row r="102" spans="1:10" x14ac:dyDescent="0.35">
      <c r="A102" s="10"/>
      <c r="J102" s="12"/>
    </row>
    <row r="103" spans="1:10" x14ac:dyDescent="0.35">
      <c r="A103" s="10"/>
      <c r="J103" s="12"/>
    </row>
    <row r="104" spans="1:10" x14ac:dyDescent="0.35">
      <c r="A104" s="10"/>
      <c r="J104" s="12"/>
    </row>
    <row r="105" spans="1:10" x14ac:dyDescent="0.35">
      <c r="A105" s="10"/>
      <c r="J105" s="12"/>
    </row>
    <row r="106" spans="1:10" x14ac:dyDescent="0.35">
      <c r="A106" s="10"/>
      <c r="J106" s="12"/>
    </row>
    <row r="107" spans="1:10" x14ac:dyDescent="0.35">
      <c r="A107" s="10"/>
      <c r="J107" s="12"/>
    </row>
    <row r="108" spans="1:10" x14ac:dyDescent="0.35">
      <c r="A108" s="10"/>
      <c r="J108" s="12"/>
    </row>
    <row r="109" spans="1:10" x14ac:dyDescent="0.35">
      <c r="A109" s="10"/>
      <c r="J109" s="12"/>
    </row>
    <row r="110" spans="1:10" x14ac:dyDescent="0.35">
      <c r="A110" s="10"/>
      <c r="J110" s="12"/>
    </row>
    <row r="111" spans="1:10" x14ac:dyDescent="0.35">
      <c r="A111" s="10"/>
      <c r="J111" s="12"/>
    </row>
    <row r="112" spans="1:10" x14ac:dyDescent="0.35">
      <c r="A112" s="10"/>
      <c r="J112" s="12"/>
    </row>
    <row r="113" spans="1:10" x14ac:dyDescent="0.35">
      <c r="A113" s="10"/>
      <c r="J113" s="12"/>
    </row>
    <row r="114" spans="1:10" x14ac:dyDescent="0.35">
      <c r="A114" s="10"/>
      <c r="J114" s="12"/>
    </row>
    <row r="115" spans="1:10" x14ac:dyDescent="0.35">
      <c r="A115" s="10"/>
      <c r="J115" s="12"/>
    </row>
    <row r="116" spans="1:10" x14ac:dyDescent="0.35">
      <c r="A116" s="10"/>
      <c r="J116" s="12"/>
    </row>
    <row r="117" spans="1:10" x14ac:dyDescent="0.35">
      <c r="A117" s="10"/>
      <c r="J117" s="12"/>
    </row>
    <row r="118" spans="1:10" x14ac:dyDescent="0.35">
      <c r="A118" s="10"/>
      <c r="J118" s="12"/>
    </row>
    <row r="119" spans="1:10" x14ac:dyDescent="0.35">
      <c r="A119" s="10"/>
      <c r="J119" s="12"/>
    </row>
    <row r="120" spans="1:10" x14ac:dyDescent="0.35">
      <c r="A120" s="10"/>
      <c r="J120" s="12"/>
    </row>
    <row r="121" spans="1:10" x14ac:dyDescent="0.35">
      <c r="A121" s="10"/>
      <c r="J121" s="12"/>
    </row>
    <row r="122" spans="1:10" x14ac:dyDescent="0.35">
      <c r="A122" s="10"/>
      <c r="J122" s="12"/>
    </row>
    <row r="123" spans="1:10" x14ac:dyDescent="0.35">
      <c r="A123" s="10"/>
      <c r="J123" s="12"/>
    </row>
    <row r="124" spans="1:10" x14ac:dyDescent="0.35">
      <c r="A124" s="10"/>
      <c r="J124" s="12"/>
    </row>
    <row r="125" spans="1:10" x14ac:dyDescent="0.35">
      <c r="A125" s="10"/>
      <c r="J125" s="12"/>
    </row>
    <row r="126" spans="1:10" x14ac:dyDescent="0.35">
      <c r="A126" s="10"/>
      <c r="J126" s="12"/>
    </row>
    <row r="127" spans="1:10" x14ac:dyDescent="0.35">
      <c r="A127" s="10"/>
      <c r="J127" s="12"/>
    </row>
    <row r="128" spans="1:10" x14ac:dyDescent="0.35">
      <c r="A128" s="10"/>
      <c r="J128" s="12"/>
    </row>
    <row r="129" spans="1:10" x14ac:dyDescent="0.35">
      <c r="A129" s="10"/>
      <c r="J129" s="12"/>
    </row>
    <row r="130" spans="1:10" x14ac:dyDescent="0.35">
      <c r="A130" s="10"/>
      <c r="J130" s="12"/>
    </row>
    <row r="131" spans="1:10" x14ac:dyDescent="0.35">
      <c r="A131" s="10"/>
      <c r="J131" s="12"/>
    </row>
    <row r="132" spans="1:10" x14ac:dyDescent="0.35">
      <c r="A132" s="10"/>
      <c r="J132" s="12"/>
    </row>
    <row r="133" spans="1:10" x14ac:dyDescent="0.35">
      <c r="A133" s="10"/>
      <c r="J133" s="12"/>
    </row>
    <row r="134" spans="1:10" x14ac:dyDescent="0.35">
      <c r="A134" s="10"/>
      <c r="J134" s="12"/>
    </row>
    <row r="135" spans="1:10" x14ac:dyDescent="0.35">
      <c r="A135" s="10"/>
      <c r="J135" s="12"/>
    </row>
    <row r="136" spans="1:10" x14ac:dyDescent="0.35">
      <c r="A136" s="10"/>
      <c r="J136" s="12"/>
    </row>
    <row r="137" spans="1:10" x14ac:dyDescent="0.35">
      <c r="A137" s="10"/>
      <c r="J137" s="12"/>
    </row>
    <row r="138" spans="1:10" x14ac:dyDescent="0.35">
      <c r="A138" s="10"/>
      <c r="J138" s="12"/>
    </row>
    <row r="139" spans="1:10" x14ac:dyDescent="0.35">
      <c r="A139" s="10"/>
      <c r="J139" s="12"/>
    </row>
    <row r="140" spans="1:10" x14ac:dyDescent="0.35">
      <c r="A140" s="10"/>
      <c r="J140" s="12"/>
    </row>
    <row r="141" spans="1:10" x14ac:dyDescent="0.35">
      <c r="A141" s="10"/>
      <c r="J141" s="12"/>
    </row>
    <row r="142" spans="1:10" x14ac:dyDescent="0.35">
      <c r="A142" s="10"/>
      <c r="J142" s="12"/>
    </row>
    <row r="143" spans="1:10" x14ac:dyDescent="0.35">
      <c r="A143" s="10"/>
      <c r="J143" s="12"/>
    </row>
    <row r="144" spans="1:10" x14ac:dyDescent="0.35">
      <c r="A144" s="10"/>
      <c r="J144" s="12"/>
    </row>
    <row r="145" spans="1:10" x14ac:dyDescent="0.35">
      <c r="A145" s="10"/>
      <c r="J145" s="12"/>
    </row>
    <row r="146" spans="1:10" x14ac:dyDescent="0.35">
      <c r="A146" s="10"/>
      <c r="J146" s="12"/>
    </row>
    <row r="147" spans="1:10" x14ac:dyDescent="0.35">
      <c r="A147" s="10"/>
      <c r="J147" s="12"/>
    </row>
    <row r="148" spans="1:10" x14ac:dyDescent="0.35">
      <c r="J148" s="12"/>
    </row>
    <row r="149" spans="1:10" x14ac:dyDescent="0.35">
      <c r="J149" s="12"/>
    </row>
    <row r="150" spans="1:10" x14ac:dyDescent="0.35">
      <c r="J150" s="12"/>
    </row>
    <row r="151" spans="1:10" x14ac:dyDescent="0.35">
      <c r="J151" s="12"/>
    </row>
    <row r="152" spans="1:10" x14ac:dyDescent="0.35">
      <c r="J152" s="12"/>
    </row>
    <row r="153" spans="1:10" x14ac:dyDescent="0.35">
      <c r="J153" s="12"/>
    </row>
    <row r="154" spans="1:10" x14ac:dyDescent="0.35">
      <c r="J154" s="12"/>
    </row>
    <row r="155" spans="1:10" x14ac:dyDescent="0.35">
      <c r="J155" s="12"/>
    </row>
    <row r="156" spans="1:10" x14ac:dyDescent="0.35">
      <c r="J156" s="12"/>
    </row>
    <row r="157" spans="1:10" x14ac:dyDescent="0.35">
      <c r="J157" s="12"/>
    </row>
    <row r="158" spans="1:10" x14ac:dyDescent="0.35">
      <c r="J158" s="12"/>
    </row>
    <row r="159" spans="1:10" x14ac:dyDescent="0.35">
      <c r="J159" s="12"/>
    </row>
    <row r="160" spans="1:10" x14ac:dyDescent="0.35">
      <c r="J160" s="12"/>
    </row>
    <row r="161" spans="10:10" x14ac:dyDescent="0.35">
      <c r="J161" s="12"/>
    </row>
    <row r="162" spans="10:10" x14ac:dyDescent="0.35">
      <c r="J162" s="12"/>
    </row>
    <row r="163" spans="10:10" x14ac:dyDescent="0.35">
      <c r="J163" s="12"/>
    </row>
    <row r="164" spans="10:10" x14ac:dyDescent="0.35">
      <c r="J164" s="12"/>
    </row>
    <row r="165" spans="10:10" x14ac:dyDescent="0.35">
      <c r="J165" s="12"/>
    </row>
    <row r="166" spans="10:10" x14ac:dyDescent="0.35">
      <c r="J166" s="12"/>
    </row>
    <row r="167" spans="10:10" x14ac:dyDescent="0.35">
      <c r="J167" s="12"/>
    </row>
    <row r="168" spans="10:10" x14ac:dyDescent="0.35">
      <c r="J168" s="12"/>
    </row>
    <row r="169" spans="10:10" x14ac:dyDescent="0.35">
      <c r="J169" s="12"/>
    </row>
    <row r="170" spans="10:10" x14ac:dyDescent="0.35">
      <c r="J170" s="12"/>
    </row>
    <row r="171" spans="10:10" x14ac:dyDescent="0.35">
      <c r="J171" s="12"/>
    </row>
    <row r="172" spans="10:10" x14ac:dyDescent="0.35">
      <c r="J172" s="12"/>
    </row>
    <row r="173" spans="10:10" x14ac:dyDescent="0.35">
      <c r="J173" s="12"/>
    </row>
    <row r="174" spans="10:10" x14ac:dyDescent="0.35">
      <c r="J174" s="12"/>
    </row>
    <row r="175" spans="10:10" x14ac:dyDescent="0.35">
      <c r="J175" s="12"/>
    </row>
    <row r="176" spans="10:10" x14ac:dyDescent="0.35">
      <c r="J176" s="12"/>
    </row>
    <row r="177" spans="10:10" x14ac:dyDescent="0.35">
      <c r="J177" s="12"/>
    </row>
    <row r="178" spans="10:10" x14ac:dyDescent="0.35">
      <c r="J178" s="12"/>
    </row>
    <row r="179" spans="10:10" x14ac:dyDescent="0.35">
      <c r="J179" s="12"/>
    </row>
    <row r="180" spans="10:10" x14ac:dyDescent="0.35">
      <c r="J180" s="12"/>
    </row>
    <row r="181" spans="10:10" x14ac:dyDescent="0.35">
      <c r="J181" s="12"/>
    </row>
    <row r="182" spans="10:10" x14ac:dyDescent="0.35">
      <c r="J182" s="12"/>
    </row>
    <row r="183" spans="10:10" x14ac:dyDescent="0.35">
      <c r="J183" s="12"/>
    </row>
    <row r="184" spans="10:10" x14ac:dyDescent="0.35">
      <c r="J184" s="12"/>
    </row>
    <row r="185" spans="10:10" x14ac:dyDescent="0.35">
      <c r="J185" s="12"/>
    </row>
    <row r="186" spans="10:10" x14ac:dyDescent="0.35">
      <c r="J186" s="12"/>
    </row>
    <row r="187" spans="10:10" x14ac:dyDescent="0.35">
      <c r="J187" s="12"/>
    </row>
    <row r="188" spans="10:10" x14ac:dyDescent="0.35">
      <c r="J188" s="12"/>
    </row>
    <row r="189" spans="10:10" x14ac:dyDescent="0.35">
      <c r="J189" s="12"/>
    </row>
    <row r="190" spans="10:10" x14ac:dyDescent="0.35">
      <c r="J190" s="12"/>
    </row>
    <row r="191" spans="10:10" x14ac:dyDescent="0.35">
      <c r="J191" s="12"/>
    </row>
    <row r="192" spans="10:10" x14ac:dyDescent="0.35">
      <c r="J192" s="12"/>
    </row>
    <row r="193" spans="10:10" x14ac:dyDescent="0.35">
      <c r="J193" s="12"/>
    </row>
    <row r="194" spans="10:10" x14ac:dyDescent="0.35">
      <c r="J194" s="12"/>
    </row>
    <row r="195" spans="10:10" x14ac:dyDescent="0.35">
      <c r="J195" s="12"/>
    </row>
    <row r="196" spans="10:10" x14ac:dyDescent="0.35">
      <c r="J196" s="12"/>
    </row>
    <row r="197" spans="10:10" x14ac:dyDescent="0.35">
      <c r="J197" s="12"/>
    </row>
    <row r="198" spans="10:10" x14ac:dyDescent="0.35">
      <c r="J198" s="12"/>
    </row>
    <row r="199" spans="10:10" x14ac:dyDescent="0.35">
      <c r="J199" s="12"/>
    </row>
    <row r="200" spans="10:10" x14ac:dyDescent="0.35">
      <c r="J200" s="12"/>
    </row>
    <row r="201" spans="10:10" x14ac:dyDescent="0.35">
      <c r="J201" s="12"/>
    </row>
    <row r="202" spans="10:10" x14ac:dyDescent="0.35">
      <c r="J202" s="12"/>
    </row>
    <row r="203" spans="10:10" x14ac:dyDescent="0.35">
      <c r="J203" s="12"/>
    </row>
    <row r="204" spans="10:10" x14ac:dyDescent="0.35">
      <c r="J204" s="12"/>
    </row>
    <row r="205" spans="10:10" x14ac:dyDescent="0.35">
      <c r="J205" s="12"/>
    </row>
    <row r="206" spans="10:10" x14ac:dyDescent="0.35">
      <c r="J206" s="12"/>
    </row>
    <row r="207" spans="10:10" x14ac:dyDescent="0.35">
      <c r="J207" s="12"/>
    </row>
    <row r="208" spans="10:10" x14ac:dyDescent="0.35">
      <c r="J208" s="12"/>
    </row>
    <row r="209" spans="10:10" x14ac:dyDescent="0.35">
      <c r="J209" s="12"/>
    </row>
    <row r="210" spans="10:10" x14ac:dyDescent="0.35">
      <c r="J210" s="12"/>
    </row>
    <row r="211" spans="10:10" x14ac:dyDescent="0.35">
      <c r="J211" s="12"/>
    </row>
    <row r="212" spans="10:10" x14ac:dyDescent="0.35">
      <c r="J212" s="12"/>
    </row>
    <row r="213" spans="10:10" x14ac:dyDescent="0.35">
      <c r="J213" s="12"/>
    </row>
    <row r="214" spans="10:10" x14ac:dyDescent="0.35">
      <c r="J214" s="12"/>
    </row>
    <row r="215" spans="10:10" x14ac:dyDescent="0.35">
      <c r="J215" s="12"/>
    </row>
    <row r="216" spans="10:10" x14ac:dyDescent="0.35">
      <c r="J216" s="12"/>
    </row>
    <row r="217" spans="10:10" x14ac:dyDescent="0.35">
      <c r="J217" s="12"/>
    </row>
    <row r="218" spans="10:10" x14ac:dyDescent="0.35">
      <c r="J218" s="12"/>
    </row>
    <row r="219" spans="10:10" x14ac:dyDescent="0.35">
      <c r="J219" s="12"/>
    </row>
    <row r="220" spans="10:10" x14ac:dyDescent="0.35">
      <c r="J220" s="12"/>
    </row>
    <row r="221" spans="10:10" x14ac:dyDescent="0.35">
      <c r="J221" s="12"/>
    </row>
    <row r="222" spans="10:10" x14ac:dyDescent="0.35">
      <c r="J222" s="12"/>
    </row>
    <row r="223" spans="10:10" x14ac:dyDescent="0.35">
      <c r="J223" s="12"/>
    </row>
    <row r="224" spans="10:10" x14ac:dyDescent="0.35">
      <c r="J224" s="12"/>
    </row>
    <row r="225" spans="10:10" x14ac:dyDescent="0.35">
      <c r="J225" s="12"/>
    </row>
    <row r="226" spans="10:10" x14ac:dyDescent="0.35">
      <c r="J226" s="12"/>
    </row>
    <row r="227" spans="10:10" x14ac:dyDescent="0.35">
      <c r="J227" s="12"/>
    </row>
    <row r="228" spans="10:10" x14ac:dyDescent="0.35">
      <c r="J228" s="12"/>
    </row>
    <row r="229" spans="10:10" x14ac:dyDescent="0.35">
      <c r="J229" s="12"/>
    </row>
    <row r="230" spans="10:10" x14ac:dyDescent="0.35">
      <c r="J230" s="12"/>
    </row>
    <row r="231" spans="10:10" x14ac:dyDescent="0.35">
      <c r="J231" s="12"/>
    </row>
    <row r="232" spans="10:10" x14ac:dyDescent="0.35">
      <c r="J232" s="12"/>
    </row>
    <row r="233" spans="10:10" x14ac:dyDescent="0.35">
      <c r="J233" s="12"/>
    </row>
    <row r="234" spans="10:10" x14ac:dyDescent="0.35">
      <c r="J234" s="12"/>
    </row>
    <row r="235" spans="10:10" x14ac:dyDescent="0.35">
      <c r="J235" s="12"/>
    </row>
    <row r="236" spans="10:10" x14ac:dyDescent="0.35">
      <c r="J236" s="12"/>
    </row>
    <row r="237" spans="10:10" x14ac:dyDescent="0.35">
      <c r="J237" s="12"/>
    </row>
    <row r="238" spans="10:10" x14ac:dyDescent="0.35">
      <c r="J238" s="12"/>
    </row>
    <row r="239" spans="10:10" x14ac:dyDescent="0.35">
      <c r="J239" s="12"/>
    </row>
    <row r="240" spans="10:10" x14ac:dyDescent="0.35">
      <c r="J240" s="12"/>
    </row>
    <row r="241" spans="10:10" x14ac:dyDescent="0.35">
      <c r="J241" s="12"/>
    </row>
    <row r="242" spans="10:10" x14ac:dyDescent="0.35">
      <c r="J242" s="12"/>
    </row>
    <row r="243" spans="10:10" x14ac:dyDescent="0.35">
      <c r="J243" s="12"/>
    </row>
    <row r="244" spans="10:10" x14ac:dyDescent="0.35">
      <c r="J244" s="12"/>
    </row>
    <row r="245" spans="10:10" x14ac:dyDescent="0.35">
      <c r="J245" s="12"/>
    </row>
    <row r="246" spans="10:10" x14ac:dyDescent="0.35">
      <c r="J246" s="12"/>
    </row>
    <row r="247" spans="10:10" x14ac:dyDescent="0.35">
      <c r="J247" s="12"/>
    </row>
    <row r="248" spans="10:10" x14ac:dyDescent="0.35">
      <c r="J248" s="12"/>
    </row>
    <row r="249" spans="10:10" x14ac:dyDescent="0.35">
      <c r="J249" s="12"/>
    </row>
    <row r="250" spans="10:10" x14ac:dyDescent="0.35">
      <c r="J250" s="12"/>
    </row>
    <row r="251" spans="10:10" x14ac:dyDescent="0.35">
      <c r="J251" s="12"/>
    </row>
    <row r="252" spans="10:10" x14ac:dyDescent="0.35">
      <c r="J252" s="12"/>
    </row>
    <row r="253" spans="10:10" x14ac:dyDescent="0.35">
      <c r="J253" s="12"/>
    </row>
    <row r="254" spans="10:10" x14ac:dyDescent="0.35">
      <c r="J254" s="12"/>
    </row>
    <row r="255" spans="10:10" x14ac:dyDescent="0.35">
      <c r="J255" s="12"/>
    </row>
    <row r="256" spans="10:10" x14ac:dyDescent="0.35">
      <c r="J256" s="12"/>
    </row>
    <row r="257" spans="10:10" x14ac:dyDescent="0.35">
      <c r="J257" s="12"/>
    </row>
    <row r="258" spans="10:10" x14ac:dyDescent="0.35">
      <c r="J258" s="12"/>
    </row>
    <row r="259" spans="10:10" x14ac:dyDescent="0.35">
      <c r="J259" s="12"/>
    </row>
    <row r="260" spans="10:10" x14ac:dyDescent="0.35">
      <c r="J260" s="12"/>
    </row>
    <row r="261" spans="10:10" x14ac:dyDescent="0.35">
      <c r="J261" s="12"/>
    </row>
    <row r="262" spans="10:10" x14ac:dyDescent="0.35">
      <c r="J262" s="12"/>
    </row>
    <row r="263" spans="10:10" x14ac:dyDescent="0.35">
      <c r="J263" s="12"/>
    </row>
    <row r="264" spans="10:10" x14ac:dyDescent="0.35">
      <c r="J264" s="12"/>
    </row>
    <row r="265" spans="10:10" x14ac:dyDescent="0.35">
      <c r="J265" s="12"/>
    </row>
    <row r="266" spans="10:10" x14ac:dyDescent="0.35">
      <c r="J266" s="12"/>
    </row>
    <row r="267" spans="10:10" x14ac:dyDescent="0.35">
      <c r="J267" s="12"/>
    </row>
    <row r="268" spans="10:10" x14ac:dyDescent="0.35">
      <c r="J268" s="12"/>
    </row>
    <row r="269" spans="10:10" x14ac:dyDescent="0.35">
      <c r="J269" s="12"/>
    </row>
    <row r="270" spans="10:10" x14ac:dyDescent="0.35">
      <c r="J270" s="12"/>
    </row>
    <row r="271" spans="10:10" x14ac:dyDescent="0.35">
      <c r="J271" s="12"/>
    </row>
    <row r="272" spans="10:10" x14ac:dyDescent="0.35">
      <c r="J272" s="12"/>
    </row>
    <row r="273" spans="10:10" x14ac:dyDescent="0.35">
      <c r="J273" s="12"/>
    </row>
    <row r="274" spans="10:10" x14ac:dyDescent="0.35">
      <c r="J274" s="12"/>
    </row>
    <row r="275" spans="10:10" x14ac:dyDescent="0.35">
      <c r="J275" s="12"/>
    </row>
    <row r="276" spans="10:10" x14ac:dyDescent="0.35">
      <c r="J276" s="12"/>
    </row>
    <row r="277" spans="10:10" x14ac:dyDescent="0.35">
      <c r="J277" s="12"/>
    </row>
    <row r="278" spans="10:10" x14ac:dyDescent="0.35">
      <c r="J278" s="12"/>
    </row>
    <row r="279" spans="10:10" x14ac:dyDescent="0.35">
      <c r="J279" s="12"/>
    </row>
    <row r="280" spans="10:10" x14ac:dyDescent="0.35">
      <c r="J280" s="12"/>
    </row>
    <row r="281" spans="10:10" x14ac:dyDescent="0.35">
      <c r="J281" s="12"/>
    </row>
    <row r="282" spans="10:10" x14ac:dyDescent="0.35">
      <c r="J282" s="12"/>
    </row>
    <row r="283" spans="10:10" x14ac:dyDescent="0.35">
      <c r="J283" s="12"/>
    </row>
    <row r="284" spans="10:10" x14ac:dyDescent="0.35">
      <c r="J284" s="12"/>
    </row>
    <row r="285" spans="10:10" x14ac:dyDescent="0.35">
      <c r="J285" s="12"/>
    </row>
    <row r="286" spans="10:10" x14ac:dyDescent="0.35">
      <c r="J286" s="12"/>
    </row>
    <row r="287" spans="10:10" x14ac:dyDescent="0.35">
      <c r="J287" s="12"/>
    </row>
    <row r="288" spans="10:10" x14ac:dyDescent="0.35">
      <c r="J288" s="12"/>
    </row>
    <row r="289" spans="10:10" x14ac:dyDescent="0.35">
      <c r="J289" s="12"/>
    </row>
    <row r="290" spans="10:10" x14ac:dyDescent="0.35">
      <c r="J290" s="12"/>
    </row>
    <row r="291" spans="10:10" x14ac:dyDescent="0.35">
      <c r="J291" s="12"/>
    </row>
    <row r="292" spans="10:10" x14ac:dyDescent="0.35">
      <c r="J292" s="12"/>
    </row>
    <row r="293" spans="10:10" x14ac:dyDescent="0.35">
      <c r="J293" s="12"/>
    </row>
    <row r="294" spans="10:10" x14ac:dyDescent="0.35">
      <c r="J294" s="12"/>
    </row>
    <row r="295" spans="10:10" x14ac:dyDescent="0.35">
      <c r="J295" s="12"/>
    </row>
    <row r="296" spans="10:10" x14ac:dyDescent="0.35">
      <c r="J296" s="12"/>
    </row>
    <row r="297" spans="10:10" x14ac:dyDescent="0.35">
      <c r="J297" s="12"/>
    </row>
    <row r="298" spans="10:10" x14ac:dyDescent="0.35">
      <c r="J298" s="12"/>
    </row>
    <row r="299" spans="10:10" x14ac:dyDescent="0.35">
      <c r="J299" s="12"/>
    </row>
    <row r="300" spans="10:10" x14ac:dyDescent="0.35">
      <c r="J300" s="12"/>
    </row>
    <row r="301" spans="10:10" x14ac:dyDescent="0.35">
      <c r="J301" s="12"/>
    </row>
    <row r="302" spans="10:10" x14ac:dyDescent="0.35">
      <c r="J302" s="12"/>
    </row>
    <row r="303" spans="10:10" x14ac:dyDescent="0.35">
      <c r="J303" s="12"/>
    </row>
  </sheetData>
  <sheetProtection sheet="1" objects="1" scenarios="1"/>
  <mergeCells count="19">
    <mergeCell ref="A80:A86"/>
    <mergeCell ref="B85:F85"/>
    <mergeCell ref="A65:A72"/>
    <mergeCell ref="B71:F71"/>
    <mergeCell ref="A50:A64"/>
    <mergeCell ref="B63:F63"/>
    <mergeCell ref="A73:A79"/>
    <mergeCell ref="B78:F78"/>
    <mergeCell ref="A9:G9"/>
    <mergeCell ref="F12:G12"/>
    <mergeCell ref="B48:F48"/>
    <mergeCell ref="C12:D12"/>
    <mergeCell ref="A10:K10"/>
    <mergeCell ref="A14:A49"/>
    <mergeCell ref="A8:G8"/>
    <mergeCell ref="A2:N2"/>
    <mergeCell ref="A5:G5"/>
    <mergeCell ref="A6:G6"/>
    <mergeCell ref="A7:G7"/>
  </mergeCells>
  <conditionalFormatting sqref="I25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I39">
    <cfRule type="iconSet" priority="1">
      <iconSet iconSet="3Arrows">
        <cfvo type="percent" val="0"/>
        <cfvo type="percent" val="33"/>
        <cfvo type="percent" val="67"/>
      </iconSet>
    </cfRule>
  </conditionalFormatting>
  <pageMargins left="0.23622047244094491" right="0.23622047244094491" top="0.21" bottom="0.19685039370078741" header="0.11811023622047245" footer="7.874015748031496E-2"/>
  <pageSetup paperSize="9" scale="42" firstPageNumber="8" fitToHeight="0" orientation="landscape" useFirstPageNumber="1" horizontalDpi="1200" verticalDpi="1200" r:id="rId1"/>
  <headerFooter>
    <oddFooter>&amp;C&amp;P</oddFooter>
  </headerFooter>
  <rowBreaks count="1" manualBreakCount="1">
    <brk id="7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74"/>
  <sheetViews>
    <sheetView zoomScale="60" zoomScaleNormal="60" zoomScalePageLayoutView="70" workbookViewId="0">
      <selection activeCell="K15" sqref="K15"/>
    </sheetView>
  </sheetViews>
  <sheetFormatPr defaultColWidth="9.1796875" defaultRowHeight="14.5" x14ac:dyDescent="0.35"/>
  <cols>
    <col min="1" max="1" width="5" style="3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0.26953125" style="2" customWidth="1"/>
    <col min="8" max="8" width="59.90625" style="3" customWidth="1"/>
    <col min="9" max="11" width="13.7265625" style="3" customWidth="1"/>
    <col min="12" max="13" width="25.7265625" style="3" customWidth="1"/>
    <col min="14" max="14" width="90.7265625" style="3" customWidth="1"/>
    <col min="15" max="16384" width="9.1796875" style="3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87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L121</f>
        <v>0</v>
      </c>
      <c r="M5" s="170">
        <f>M121</f>
        <v>0</v>
      </c>
      <c r="N5" s="169"/>
    </row>
    <row r="6" spans="1:14" ht="18.5" x14ac:dyDescent="0.35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L140</f>
        <v>0</v>
      </c>
      <c r="M6" s="170">
        <f>M140</f>
        <v>0</v>
      </c>
      <c r="N6" s="169"/>
    </row>
    <row r="7" spans="1:14" ht="19" thickBot="1" x14ac:dyDescent="0.4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L147</f>
        <v>0</v>
      </c>
      <c r="M7" s="170">
        <f>M147</f>
        <v>0</v>
      </c>
      <c r="N7" s="169"/>
    </row>
    <row r="8" spans="1:14" ht="19" hidden="1" thickBot="1" x14ac:dyDescent="0.4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L163</f>
        <v>0</v>
      </c>
      <c r="M8" s="170">
        <f>M163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L218</f>
        <v>0</v>
      </c>
      <c r="M9" s="170">
        <f>M218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160" customFormat="1" ht="15" customHeight="1" thickBot="1" x14ac:dyDescent="0.4">
      <c r="A13" s="406"/>
      <c r="B13" s="407"/>
      <c r="C13" s="408"/>
      <c r="D13" s="408"/>
      <c r="E13" s="253"/>
      <c r="F13" s="409"/>
      <c r="G13" s="409"/>
      <c r="H13" s="409"/>
      <c r="I13" s="409"/>
      <c r="J13" s="409"/>
      <c r="K13" s="409"/>
      <c r="L13" s="409"/>
      <c r="M13" s="409"/>
      <c r="N13" s="409"/>
    </row>
    <row r="14" spans="1:14" ht="14" customHeight="1" x14ac:dyDescent="0.35">
      <c r="A14" s="546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3"/>
      <c r="L14" s="183"/>
      <c r="M14" s="183"/>
      <c r="N14" s="186"/>
    </row>
    <row r="15" spans="1:14" ht="18.5" x14ac:dyDescent="0.35">
      <c r="A15" s="547"/>
      <c r="B15" s="216"/>
      <c r="C15" s="188" t="s">
        <v>10</v>
      </c>
      <c r="D15" s="188" t="s">
        <v>43</v>
      </c>
      <c r="E15" s="189"/>
      <c r="F15" s="190" t="s">
        <v>106</v>
      </c>
      <c r="G15" s="191" t="s">
        <v>11</v>
      </c>
      <c r="H15" s="192" t="s">
        <v>64</v>
      </c>
      <c r="I15" s="193" t="s">
        <v>4</v>
      </c>
      <c r="J15" s="194">
        <f>13.26*0.3</f>
        <v>3.9779999999999998</v>
      </c>
      <c r="K15" s="98"/>
      <c r="L15" s="195">
        <f>K15*J15</f>
        <v>0</v>
      </c>
      <c r="M15" s="98"/>
      <c r="N15" s="196" t="s">
        <v>292</v>
      </c>
    </row>
    <row r="16" spans="1:14" ht="18.5" x14ac:dyDescent="0.35">
      <c r="A16" s="547"/>
      <c r="B16" s="197"/>
      <c r="C16" s="198"/>
      <c r="D16" s="198"/>
      <c r="E16" s="199"/>
      <c r="F16" s="200"/>
      <c r="G16" s="191"/>
      <c r="H16" s="192" t="s">
        <v>41</v>
      </c>
      <c r="I16" s="193" t="s">
        <v>4</v>
      </c>
      <c r="J16" s="194">
        <f>5.74+0.3*(10.1)+2.2</f>
        <v>10.969999999999999</v>
      </c>
      <c r="K16" s="98"/>
      <c r="L16" s="195">
        <f>K16*J16</f>
        <v>0</v>
      </c>
      <c r="M16" s="98"/>
      <c r="N16" s="196" t="s">
        <v>292</v>
      </c>
    </row>
    <row r="17" spans="1:14" s="23" customFormat="1" ht="18.5" x14ac:dyDescent="0.35">
      <c r="A17" s="547"/>
      <c r="B17" s="197"/>
      <c r="C17" s="198"/>
      <c r="D17" s="198"/>
      <c r="E17" s="199"/>
      <c r="F17" s="200"/>
      <c r="G17" s="191"/>
      <c r="H17" s="192" t="s">
        <v>108</v>
      </c>
      <c r="I17" s="193" t="s">
        <v>4</v>
      </c>
      <c r="J17" s="194">
        <f>5.74+0.07*0.3*9+0.3*(0.425+0.455+0.205)+0.3*(1.355+1.44+1.08+2.35+4.99+0.65+0.71+1.395+1.81+0.955)</f>
        <v>11.274999999999999</v>
      </c>
      <c r="K17" s="98"/>
      <c r="L17" s="195">
        <f>K17*J17</f>
        <v>0</v>
      </c>
      <c r="M17" s="98"/>
      <c r="N17" s="196" t="s">
        <v>292</v>
      </c>
    </row>
    <row r="18" spans="1:14" x14ac:dyDescent="0.35">
      <c r="A18" s="547"/>
      <c r="B18" s="197"/>
      <c r="C18" s="199"/>
      <c r="D18" s="199"/>
      <c r="E18" s="199"/>
      <c r="F18" s="200"/>
      <c r="G18" s="191"/>
      <c r="H18" s="192"/>
      <c r="I18" s="193"/>
      <c r="J18" s="194"/>
      <c r="K18" s="195"/>
      <c r="L18" s="195"/>
      <c r="M18" s="195"/>
      <c r="N18" s="196"/>
    </row>
    <row r="19" spans="1:14" x14ac:dyDescent="0.35">
      <c r="A19" s="547"/>
      <c r="B19" s="197"/>
      <c r="C19" s="199"/>
      <c r="D19" s="199"/>
      <c r="E19" s="199"/>
      <c r="F19" s="200"/>
      <c r="G19" s="191" t="s">
        <v>13</v>
      </c>
      <c r="H19" s="192" t="s">
        <v>112</v>
      </c>
      <c r="I19" s="193" t="s">
        <v>4</v>
      </c>
      <c r="J19" s="194">
        <f>0.3*(10.1)</f>
        <v>3.03</v>
      </c>
      <c r="K19" s="98"/>
      <c r="L19" s="195">
        <f>K19*J19</f>
        <v>0</v>
      </c>
      <c r="M19" s="98"/>
      <c r="N19" s="196" t="s">
        <v>256</v>
      </c>
    </row>
    <row r="20" spans="1:14" s="23" customFormat="1" x14ac:dyDescent="0.35">
      <c r="A20" s="547"/>
      <c r="B20" s="197"/>
      <c r="C20" s="199"/>
      <c r="D20" s="199"/>
      <c r="E20" s="199"/>
      <c r="F20" s="200"/>
      <c r="G20" s="191"/>
      <c r="H20" s="192" t="s">
        <v>65</v>
      </c>
      <c r="I20" s="193" t="s">
        <v>4</v>
      </c>
      <c r="J20" s="194">
        <f>5.74+0.3*(10.1)+13.26*0.3</f>
        <v>12.747999999999999</v>
      </c>
      <c r="K20" s="98"/>
      <c r="L20" s="195">
        <f>K20*J20</f>
        <v>0</v>
      </c>
      <c r="M20" s="98"/>
      <c r="N20" s="196"/>
    </row>
    <row r="21" spans="1:14" s="23" customFormat="1" x14ac:dyDescent="0.35">
      <c r="A21" s="547"/>
      <c r="B21" s="197"/>
      <c r="C21" s="199"/>
      <c r="D21" s="199"/>
      <c r="E21" s="199"/>
      <c r="F21" s="200"/>
      <c r="G21" s="191"/>
      <c r="H21" s="192" t="s">
        <v>109</v>
      </c>
      <c r="I21" s="193" t="s">
        <v>4</v>
      </c>
      <c r="J21" s="194">
        <v>2.6</v>
      </c>
      <c r="K21" s="98"/>
      <c r="L21" s="195">
        <f>K21*J21</f>
        <v>0</v>
      </c>
      <c r="M21" s="98"/>
      <c r="N21" s="196" t="s">
        <v>256</v>
      </c>
    </row>
    <row r="22" spans="1:14" s="23" customFormat="1" x14ac:dyDescent="0.35">
      <c r="A22" s="547"/>
      <c r="B22" s="197"/>
      <c r="C22" s="199"/>
      <c r="D22" s="199"/>
      <c r="E22" s="199"/>
      <c r="F22" s="200"/>
      <c r="G22" s="191"/>
      <c r="H22" s="192" t="s">
        <v>141</v>
      </c>
      <c r="I22" s="193" t="s">
        <v>4</v>
      </c>
      <c r="J22" s="194">
        <f>13.26*0.3+5.74</f>
        <v>9.718</v>
      </c>
      <c r="K22" s="98"/>
      <c r="L22" s="195">
        <f>K22*J22</f>
        <v>0</v>
      </c>
      <c r="M22" s="98"/>
      <c r="N22" s="196"/>
    </row>
    <row r="23" spans="1:14" x14ac:dyDescent="0.35">
      <c r="A23" s="547"/>
      <c r="B23" s="197"/>
      <c r="C23" s="199"/>
      <c r="D23" s="199"/>
      <c r="E23" s="199"/>
      <c r="F23" s="200"/>
      <c r="G23" s="191"/>
      <c r="H23" s="192"/>
      <c r="I23" s="193"/>
      <c r="J23" s="194"/>
      <c r="K23" s="195"/>
      <c r="L23" s="195"/>
      <c r="M23" s="195"/>
      <c r="N23" s="196"/>
    </row>
    <row r="24" spans="1:14" ht="15.5" x14ac:dyDescent="0.35">
      <c r="A24" s="547"/>
      <c r="B24" s="429"/>
      <c r="C24" s="203"/>
      <c r="D24" s="203"/>
      <c r="E24" s="203"/>
      <c r="F24" s="204"/>
      <c r="G24" s="205"/>
      <c r="H24" s="206" t="s">
        <v>211</v>
      </c>
      <c r="I24" s="207"/>
      <c r="J24" s="208"/>
      <c r="K24" s="209"/>
      <c r="L24" s="210">
        <f>SUM(L15:L22)</f>
        <v>0</v>
      </c>
      <c r="M24" s="210">
        <f>SUM(M15:M22)</f>
        <v>0</v>
      </c>
      <c r="N24" s="211"/>
    </row>
    <row r="25" spans="1:14" x14ac:dyDescent="0.35">
      <c r="A25" s="547"/>
      <c r="B25" s="197"/>
      <c r="C25" s="199"/>
      <c r="D25" s="199"/>
      <c r="E25" s="199"/>
      <c r="F25" s="199"/>
      <c r="G25" s="199"/>
      <c r="H25" s="222"/>
      <c r="I25" s="222"/>
      <c r="J25" s="223"/>
      <c r="K25" s="222"/>
      <c r="L25" s="222"/>
      <c r="M25" s="222"/>
      <c r="N25" s="196"/>
    </row>
    <row r="26" spans="1:14" ht="15" customHeight="1" x14ac:dyDescent="0.35">
      <c r="A26" s="547"/>
      <c r="B26" s="216"/>
      <c r="C26" s="188" t="s">
        <v>10</v>
      </c>
      <c r="D26" s="188" t="s">
        <v>44</v>
      </c>
      <c r="E26" s="189"/>
      <c r="F26" s="190" t="s">
        <v>105</v>
      </c>
      <c r="G26" s="191" t="s">
        <v>12</v>
      </c>
      <c r="H26" s="192" t="s">
        <v>257</v>
      </c>
      <c r="I26" s="193" t="s">
        <v>6</v>
      </c>
      <c r="J26" s="194">
        <v>85</v>
      </c>
      <c r="K26" s="98"/>
      <c r="L26" s="195">
        <f>K26*J26</f>
        <v>0</v>
      </c>
      <c r="M26" s="98"/>
      <c r="N26" s="196" t="s">
        <v>298</v>
      </c>
    </row>
    <row r="27" spans="1:14" ht="15" customHeight="1" x14ac:dyDescent="0.35">
      <c r="A27" s="547"/>
      <c r="B27" s="217"/>
      <c r="C27" s="218"/>
      <c r="D27" s="218"/>
      <c r="E27" s="219"/>
      <c r="F27" s="220"/>
      <c r="G27" s="283"/>
      <c r="H27" s="192" t="s">
        <v>231</v>
      </c>
      <c r="I27" s="193" t="s">
        <v>4</v>
      </c>
      <c r="J27" s="194">
        <f>34.3</f>
        <v>34.299999999999997</v>
      </c>
      <c r="K27" s="98"/>
      <c r="L27" s="195">
        <f>K27*J27</f>
        <v>0</v>
      </c>
      <c r="M27" s="98"/>
      <c r="N27" s="196" t="s">
        <v>294</v>
      </c>
    </row>
    <row r="28" spans="1:14" ht="15" customHeight="1" x14ac:dyDescent="0.35">
      <c r="A28" s="547"/>
      <c r="B28" s="217"/>
      <c r="C28" s="219"/>
      <c r="D28" s="219"/>
      <c r="E28" s="219"/>
      <c r="F28" s="288"/>
      <c r="G28" s="288"/>
      <c r="H28" s="192"/>
      <c r="I28" s="193"/>
      <c r="J28" s="194"/>
      <c r="K28" s="195"/>
      <c r="L28" s="195"/>
      <c r="M28" s="195"/>
      <c r="N28" s="196"/>
    </row>
    <row r="29" spans="1:14" ht="15.5" x14ac:dyDescent="0.35">
      <c r="A29" s="547"/>
      <c r="B29" s="290"/>
      <c r="C29" s="265"/>
      <c r="D29" s="265"/>
      <c r="E29" s="265"/>
      <c r="F29" s="266"/>
      <c r="G29" s="267"/>
      <c r="H29" s="206" t="s">
        <v>211</v>
      </c>
      <c r="I29" s="207"/>
      <c r="J29" s="208"/>
      <c r="K29" s="209"/>
      <c r="L29" s="210">
        <f>SUM(L26:L27)</f>
        <v>0</v>
      </c>
      <c r="M29" s="210">
        <f>SUM(M26:M27)</f>
        <v>0</v>
      </c>
      <c r="N29" s="211"/>
    </row>
    <row r="30" spans="1:14" x14ac:dyDescent="0.35">
      <c r="A30" s="547"/>
      <c r="B30" s="197"/>
      <c r="C30" s="199"/>
      <c r="D30" s="199"/>
      <c r="E30" s="199"/>
      <c r="F30" s="199"/>
      <c r="G30" s="199"/>
      <c r="H30" s="222"/>
      <c r="I30" s="222"/>
      <c r="J30" s="223"/>
      <c r="K30" s="222"/>
      <c r="L30" s="222"/>
      <c r="M30" s="222"/>
      <c r="N30" s="196"/>
    </row>
    <row r="31" spans="1:14" ht="18.5" x14ac:dyDescent="0.35">
      <c r="A31" s="547"/>
      <c r="B31" s="216"/>
      <c r="C31" s="188" t="s">
        <v>10</v>
      </c>
      <c r="D31" s="188" t="s">
        <v>45</v>
      </c>
      <c r="E31" s="433" t="s">
        <v>110</v>
      </c>
      <c r="F31" s="190" t="s">
        <v>258</v>
      </c>
      <c r="G31" s="191" t="s">
        <v>11</v>
      </c>
      <c r="H31" s="192" t="s">
        <v>228</v>
      </c>
      <c r="I31" s="193" t="s">
        <v>4</v>
      </c>
      <c r="J31" s="194">
        <f>3.14*0.45*0.77</f>
        <v>1.0880100000000001</v>
      </c>
      <c r="K31" s="98"/>
      <c r="L31" s="195">
        <f>K31*J31</f>
        <v>0</v>
      </c>
      <c r="M31" s="98"/>
      <c r="N31" s="196" t="s">
        <v>223</v>
      </c>
    </row>
    <row r="32" spans="1:14" ht="58" x14ac:dyDescent="0.35">
      <c r="A32" s="547"/>
      <c r="B32" s="197"/>
      <c r="C32" s="198"/>
      <c r="D32" s="198"/>
      <c r="E32" s="199"/>
      <c r="F32" s="200"/>
      <c r="G32" s="191"/>
      <c r="H32" s="221" t="s">
        <v>348</v>
      </c>
      <c r="I32" s="193" t="s">
        <v>4</v>
      </c>
      <c r="J32" s="194">
        <f>3.14*0.225*0.225*4+4*0.1*0.77</f>
        <v>0.94385000000000008</v>
      </c>
      <c r="K32" s="98"/>
      <c r="L32" s="195">
        <f>K32*J32</f>
        <v>0</v>
      </c>
      <c r="M32" s="98"/>
      <c r="N32" s="196"/>
    </row>
    <row r="33" spans="1:14" x14ac:dyDescent="0.35">
      <c r="A33" s="547"/>
      <c r="B33" s="197"/>
      <c r="C33" s="199"/>
      <c r="D33" s="199"/>
      <c r="E33" s="199"/>
      <c r="F33" s="200"/>
      <c r="G33" s="191"/>
      <c r="H33" s="192" t="s">
        <v>230</v>
      </c>
      <c r="I33" s="193" t="s">
        <v>4</v>
      </c>
      <c r="J33" s="194">
        <f>3.14*0.225*0.225</f>
        <v>0.15896250000000001</v>
      </c>
      <c r="K33" s="98"/>
      <c r="L33" s="195">
        <f>K33*J33</f>
        <v>0</v>
      </c>
      <c r="M33" s="98"/>
      <c r="N33" s="196"/>
    </row>
    <row r="34" spans="1:14" x14ac:dyDescent="0.35">
      <c r="A34" s="547"/>
      <c r="B34" s="197"/>
      <c r="C34" s="199"/>
      <c r="D34" s="199"/>
      <c r="E34" s="199"/>
      <c r="F34" s="200"/>
      <c r="G34" s="191"/>
      <c r="H34" s="192"/>
      <c r="I34" s="193"/>
      <c r="J34" s="194"/>
      <c r="K34" s="195"/>
      <c r="L34" s="195"/>
      <c r="M34" s="195"/>
      <c r="N34" s="196"/>
    </row>
    <row r="35" spans="1:14" x14ac:dyDescent="0.35">
      <c r="A35" s="547"/>
      <c r="B35" s="197"/>
      <c r="C35" s="199"/>
      <c r="D35" s="199"/>
      <c r="E35" s="199"/>
      <c r="F35" s="200"/>
      <c r="G35" s="191" t="s">
        <v>13</v>
      </c>
      <c r="H35" s="192" t="s">
        <v>350</v>
      </c>
      <c r="I35" s="193" t="s">
        <v>4</v>
      </c>
      <c r="J35" s="194">
        <f>(3.14*0.45*0.77+3.14*0.225*0.225)*1.2</f>
        <v>1.496367</v>
      </c>
      <c r="K35" s="98"/>
      <c r="L35" s="195">
        <f>K35*J35</f>
        <v>0</v>
      </c>
      <c r="M35" s="98"/>
      <c r="N35" s="196" t="s">
        <v>256</v>
      </c>
    </row>
    <row r="36" spans="1:14" s="23" customFormat="1" x14ac:dyDescent="0.35">
      <c r="A36" s="547"/>
      <c r="B36" s="197"/>
      <c r="C36" s="199"/>
      <c r="D36" s="199"/>
      <c r="E36" s="199"/>
      <c r="F36" s="200"/>
      <c r="G36" s="191"/>
      <c r="H36" s="192" t="s">
        <v>65</v>
      </c>
      <c r="I36" s="193" t="s">
        <v>4</v>
      </c>
      <c r="J36" s="194">
        <f>J35</f>
        <v>1.496367</v>
      </c>
      <c r="K36" s="98"/>
      <c r="L36" s="195">
        <f>K36*J36</f>
        <v>0</v>
      </c>
      <c r="M36" s="98"/>
      <c r="N36" s="196"/>
    </row>
    <row r="37" spans="1:14" s="23" customFormat="1" x14ac:dyDescent="0.35">
      <c r="A37" s="547"/>
      <c r="B37" s="197"/>
      <c r="C37" s="199"/>
      <c r="D37" s="199"/>
      <c r="E37" s="199"/>
      <c r="F37" s="200"/>
      <c r="G37" s="191"/>
      <c r="H37" s="192"/>
      <c r="I37" s="193"/>
      <c r="J37" s="194"/>
      <c r="K37" s="195"/>
      <c r="L37" s="195"/>
      <c r="M37" s="195"/>
      <c r="N37" s="196"/>
    </row>
    <row r="38" spans="1:14" s="23" customFormat="1" ht="29" x14ac:dyDescent="0.35">
      <c r="A38" s="547"/>
      <c r="B38" s="197"/>
      <c r="C38" s="199"/>
      <c r="D38" s="199"/>
      <c r="E38" s="199"/>
      <c r="F38" s="200"/>
      <c r="G38" s="191" t="s">
        <v>14</v>
      </c>
      <c r="H38" s="192" t="s">
        <v>259</v>
      </c>
      <c r="I38" s="193" t="s">
        <v>6</v>
      </c>
      <c r="J38" s="194">
        <v>1</v>
      </c>
      <c r="K38" s="98"/>
      <c r="L38" s="195">
        <f>K38*J38</f>
        <v>0</v>
      </c>
      <c r="M38" s="98"/>
      <c r="N38" s="410" t="s">
        <v>346</v>
      </c>
    </row>
    <row r="39" spans="1:14" x14ac:dyDescent="0.35">
      <c r="A39" s="547"/>
      <c r="B39" s="197"/>
      <c r="C39" s="199"/>
      <c r="D39" s="199"/>
      <c r="E39" s="199"/>
      <c r="F39" s="200"/>
      <c r="G39" s="200"/>
      <c r="H39" s="192"/>
      <c r="I39" s="193"/>
      <c r="J39" s="194"/>
      <c r="K39" s="195"/>
      <c r="L39" s="195"/>
      <c r="M39" s="195"/>
      <c r="N39" s="196"/>
    </row>
    <row r="40" spans="1:14" ht="15.5" x14ac:dyDescent="0.35">
      <c r="A40" s="547"/>
      <c r="B40" s="429"/>
      <c r="C40" s="203"/>
      <c r="D40" s="203"/>
      <c r="E40" s="203"/>
      <c r="F40" s="204"/>
      <c r="G40" s="205"/>
      <c r="H40" s="206" t="s">
        <v>211</v>
      </c>
      <c r="I40" s="207"/>
      <c r="J40" s="208"/>
      <c r="K40" s="209"/>
      <c r="L40" s="210">
        <f>SUM(L31:L38)</f>
        <v>0</v>
      </c>
      <c r="M40" s="210">
        <f>SUM(M31:M38)</f>
        <v>0</v>
      </c>
      <c r="N40" s="211"/>
    </row>
    <row r="41" spans="1:14" s="23" customFormat="1" x14ac:dyDescent="0.35">
      <c r="A41" s="547"/>
      <c r="B41" s="197"/>
      <c r="C41" s="199"/>
      <c r="D41" s="199"/>
      <c r="E41" s="199"/>
      <c r="F41" s="199"/>
      <c r="G41" s="199"/>
      <c r="H41" s="222"/>
      <c r="I41" s="222"/>
      <c r="J41" s="223"/>
      <c r="K41" s="222"/>
      <c r="L41" s="222"/>
      <c r="M41" s="222"/>
      <c r="N41" s="196"/>
    </row>
    <row r="42" spans="1:14" s="23" customFormat="1" ht="18.5" x14ac:dyDescent="0.35">
      <c r="A42" s="547"/>
      <c r="B42" s="216"/>
      <c r="C42" s="188" t="s">
        <v>10</v>
      </c>
      <c r="D42" s="188" t="s">
        <v>45</v>
      </c>
      <c r="E42" s="433" t="s">
        <v>115</v>
      </c>
      <c r="F42" s="190" t="s">
        <v>258</v>
      </c>
      <c r="G42" s="191" t="s">
        <v>11</v>
      </c>
      <c r="H42" s="192" t="s">
        <v>228</v>
      </c>
      <c r="I42" s="193" t="s">
        <v>4</v>
      </c>
      <c r="J42" s="194">
        <f>3.14*0.45*0.87</f>
        <v>1.2293100000000001</v>
      </c>
      <c r="K42" s="98"/>
      <c r="L42" s="195">
        <f>K42*J42</f>
        <v>0</v>
      </c>
      <c r="M42" s="98"/>
      <c r="N42" s="196" t="s">
        <v>223</v>
      </c>
    </row>
    <row r="43" spans="1:14" s="23" customFormat="1" ht="18.5" x14ac:dyDescent="0.35">
      <c r="A43" s="547"/>
      <c r="B43" s="197"/>
      <c r="C43" s="198"/>
      <c r="D43" s="198"/>
      <c r="E43" s="199"/>
      <c r="F43" s="200"/>
      <c r="G43" s="191"/>
      <c r="H43" s="192" t="s">
        <v>229</v>
      </c>
      <c r="I43" s="193" t="s">
        <v>4</v>
      </c>
      <c r="J43" s="194">
        <f>3.14*0.225*0.225*4+4*0.1*0.87</f>
        <v>0.98385000000000011</v>
      </c>
      <c r="K43" s="98"/>
      <c r="L43" s="195">
        <f>K43*J43</f>
        <v>0</v>
      </c>
      <c r="M43" s="98"/>
      <c r="N43" s="196"/>
    </row>
    <row r="44" spans="1:14" s="23" customFormat="1" x14ac:dyDescent="0.35">
      <c r="A44" s="547"/>
      <c r="B44" s="197"/>
      <c r="C44" s="199"/>
      <c r="D44" s="199"/>
      <c r="E44" s="199"/>
      <c r="F44" s="200"/>
      <c r="G44" s="191"/>
      <c r="H44" s="192" t="s">
        <v>230</v>
      </c>
      <c r="I44" s="193" t="s">
        <v>4</v>
      </c>
      <c r="J44" s="194">
        <f>3.14*0.225*0.225</f>
        <v>0.15896250000000001</v>
      </c>
      <c r="K44" s="98"/>
      <c r="L44" s="195">
        <f>K44*J44</f>
        <v>0</v>
      </c>
      <c r="M44" s="98"/>
      <c r="N44" s="196"/>
    </row>
    <row r="45" spans="1:14" s="23" customFormat="1" x14ac:dyDescent="0.35">
      <c r="A45" s="547"/>
      <c r="B45" s="197"/>
      <c r="C45" s="199"/>
      <c r="D45" s="199"/>
      <c r="E45" s="199"/>
      <c r="F45" s="200"/>
      <c r="G45" s="191"/>
      <c r="H45" s="192"/>
      <c r="I45" s="193"/>
      <c r="J45" s="194"/>
      <c r="K45" s="195"/>
      <c r="L45" s="195"/>
      <c r="M45" s="195"/>
      <c r="N45" s="196"/>
    </row>
    <row r="46" spans="1:14" s="23" customFormat="1" x14ac:dyDescent="0.35">
      <c r="A46" s="547"/>
      <c r="B46" s="197"/>
      <c r="C46" s="199"/>
      <c r="D46" s="199"/>
      <c r="E46" s="199"/>
      <c r="F46" s="200"/>
      <c r="G46" s="191" t="s">
        <v>13</v>
      </c>
      <c r="H46" s="192" t="s">
        <v>350</v>
      </c>
      <c r="I46" s="193" t="s">
        <v>4</v>
      </c>
      <c r="J46" s="194">
        <f>(3.14*0.45*0.87+3.14*0.225*0.225)*1.2</f>
        <v>1.6659270000000002</v>
      </c>
      <c r="K46" s="98"/>
      <c r="L46" s="195">
        <f>K46*J46</f>
        <v>0</v>
      </c>
      <c r="M46" s="98"/>
      <c r="N46" s="196" t="s">
        <v>256</v>
      </c>
    </row>
    <row r="47" spans="1:14" s="23" customFormat="1" x14ac:dyDescent="0.35">
      <c r="A47" s="547"/>
      <c r="B47" s="197"/>
      <c r="C47" s="199"/>
      <c r="D47" s="199"/>
      <c r="E47" s="199"/>
      <c r="F47" s="200"/>
      <c r="G47" s="191"/>
      <c r="H47" s="192" t="s">
        <v>65</v>
      </c>
      <c r="I47" s="193" t="s">
        <v>4</v>
      </c>
      <c r="J47" s="194">
        <f>J46</f>
        <v>1.6659270000000002</v>
      </c>
      <c r="K47" s="98"/>
      <c r="L47" s="195">
        <f>K47*J47</f>
        <v>0</v>
      </c>
      <c r="M47" s="98"/>
      <c r="N47" s="196"/>
    </row>
    <row r="48" spans="1:14" s="23" customFormat="1" x14ac:dyDescent="0.35">
      <c r="A48" s="547"/>
      <c r="B48" s="197"/>
      <c r="C48" s="199"/>
      <c r="D48" s="199"/>
      <c r="E48" s="199"/>
      <c r="F48" s="200"/>
      <c r="G48" s="191"/>
      <c r="H48" s="192"/>
      <c r="I48" s="193"/>
      <c r="J48" s="194"/>
      <c r="K48" s="195"/>
      <c r="L48" s="195"/>
      <c r="M48" s="195"/>
      <c r="N48" s="196"/>
    </row>
    <row r="49" spans="1:14" s="23" customFormat="1" ht="29" x14ac:dyDescent="0.35">
      <c r="A49" s="547"/>
      <c r="B49" s="197"/>
      <c r="C49" s="199"/>
      <c r="D49" s="199"/>
      <c r="E49" s="199"/>
      <c r="F49" s="200"/>
      <c r="G49" s="191" t="s">
        <v>14</v>
      </c>
      <c r="H49" s="192" t="s">
        <v>280</v>
      </c>
      <c r="I49" s="193" t="s">
        <v>6</v>
      </c>
      <c r="J49" s="194">
        <v>1</v>
      </c>
      <c r="K49" s="98"/>
      <c r="L49" s="195">
        <f>K49*J49</f>
        <v>0</v>
      </c>
      <c r="M49" s="98"/>
      <c r="N49" s="410" t="s">
        <v>346</v>
      </c>
    </row>
    <row r="50" spans="1:14" s="23" customFormat="1" x14ac:dyDescent="0.35">
      <c r="A50" s="547"/>
      <c r="B50" s="197"/>
      <c r="C50" s="199"/>
      <c r="D50" s="199"/>
      <c r="E50" s="199"/>
      <c r="F50" s="200"/>
      <c r="G50" s="200"/>
      <c r="H50" s="192"/>
      <c r="I50" s="193"/>
      <c r="J50" s="194"/>
      <c r="K50" s="195"/>
      <c r="L50" s="195"/>
      <c r="M50" s="195"/>
      <c r="N50" s="196"/>
    </row>
    <row r="51" spans="1:14" s="23" customFormat="1" ht="15.5" x14ac:dyDescent="0.35">
      <c r="A51" s="547"/>
      <c r="B51" s="429"/>
      <c r="C51" s="203"/>
      <c r="D51" s="203"/>
      <c r="E51" s="203"/>
      <c r="F51" s="204"/>
      <c r="G51" s="205"/>
      <c r="H51" s="206" t="s">
        <v>211</v>
      </c>
      <c r="I51" s="207"/>
      <c r="J51" s="208"/>
      <c r="K51" s="209"/>
      <c r="L51" s="210">
        <f>SUM(L42:L49)</f>
        <v>0</v>
      </c>
      <c r="M51" s="210">
        <f>SUM(M42:M49)</f>
        <v>0</v>
      </c>
      <c r="N51" s="211"/>
    </row>
    <row r="52" spans="1:14" s="23" customFormat="1" x14ac:dyDescent="0.35">
      <c r="A52" s="547"/>
      <c r="B52" s="197"/>
      <c r="C52" s="199"/>
      <c r="D52" s="199"/>
      <c r="E52" s="199"/>
      <c r="F52" s="199"/>
      <c r="G52" s="199"/>
      <c r="H52" s="222"/>
      <c r="I52" s="222"/>
      <c r="J52" s="223"/>
      <c r="K52" s="222"/>
      <c r="L52" s="222"/>
      <c r="M52" s="222"/>
      <c r="N52" s="196"/>
    </row>
    <row r="53" spans="1:14" s="23" customFormat="1" ht="18.5" x14ac:dyDescent="0.35">
      <c r="A53" s="547"/>
      <c r="B53" s="216"/>
      <c r="C53" s="188" t="s">
        <v>10</v>
      </c>
      <c r="D53" s="188" t="s">
        <v>45</v>
      </c>
      <c r="E53" s="433" t="s">
        <v>116</v>
      </c>
      <c r="F53" s="190" t="s">
        <v>260</v>
      </c>
      <c r="G53" s="191" t="s">
        <v>11</v>
      </c>
      <c r="H53" s="192" t="s">
        <v>228</v>
      </c>
      <c r="I53" s="193" t="s">
        <v>4</v>
      </c>
      <c r="J53" s="194">
        <f>3.14*0.6*0.77</f>
        <v>1.45068</v>
      </c>
      <c r="K53" s="98"/>
      <c r="L53" s="195">
        <f>K53*J53</f>
        <v>0</v>
      </c>
      <c r="M53" s="98"/>
      <c r="N53" s="196" t="s">
        <v>223</v>
      </c>
    </row>
    <row r="54" spans="1:14" s="23" customFormat="1" ht="18.5" x14ac:dyDescent="0.35">
      <c r="A54" s="547"/>
      <c r="B54" s="197"/>
      <c r="C54" s="198"/>
      <c r="D54" s="198"/>
      <c r="E54" s="199"/>
      <c r="F54" s="200"/>
      <c r="G54" s="191"/>
      <c r="H54" s="192" t="s">
        <v>229</v>
      </c>
      <c r="I54" s="193" t="s">
        <v>4</v>
      </c>
      <c r="J54" s="194">
        <f>3.14*0.3*0.3*4+4*0.1*0.77</f>
        <v>1.4383999999999999</v>
      </c>
      <c r="K54" s="98"/>
      <c r="L54" s="195">
        <f>K54*J54</f>
        <v>0</v>
      </c>
      <c r="M54" s="98"/>
      <c r="N54" s="196"/>
    </row>
    <row r="55" spans="1:14" s="23" customFormat="1" x14ac:dyDescent="0.35">
      <c r="A55" s="547"/>
      <c r="B55" s="197"/>
      <c r="C55" s="199"/>
      <c r="D55" s="199"/>
      <c r="E55" s="199"/>
      <c r="F55" s="200"/>
      <c r="G55" s="191"/>
      <c r="H55" s="192" t="s">
        <v>230</v>
      </c>
      <c r="I55" s="193" t="s">
        <v>4</v>
      </c>
      <c r="J55" s="194">
        <f>3.14*0.3*0.3</f>
        <v>0.28259999999999996</v>
      </c>
      <c r="K55" s="98"/>
      <c r="L55" s="195">
        <f>K55*J55</f>
        <v>0</v>
      </c>
      <c r="M55" s="98"/>
      <c r="N55" s="196"/>
    </row>
    <row r="56" spans="1:14" s="23" customFormat="1" x14ac:dyDescent="0.35">
      <c r="A56" s="547"/>
      <c r="B56" s="197"/>
      <c r="C56" s="199"/>
      <c r="D56" s="199"/>
      <c r="E56" s="199"/>
      <c r="F56" s="200"/>
      <c r="G56" s="191"/>
      <c r="H56" s="192"/>
      <c r="I56" s="193"/>
      <c r="J56" s="194"/>
      <c r="K56" s="195"/>
      <c r="L56" s="195"/>
      <c r="M56" s="195"/>
      <c r="N56" s="196"/>
    </row>
    <row r="57" spans="1:14" s="23" customFormat="1" x14ac:dyDescent="0.35">
      <c r="A57" s="547"/>
      <c r="B57" s="197"/>
      <c r="C57" s="199"/>
      <c r="D57" s="199"/>
      <c r="E57" s="199"/>
      <c r="F57" s="200"/>
      <c r="G57" s="191" t="s">
        <v>13</v>
      </c>
      <c r="H57" s="192" t="s">
        <v>350</v>
      </c>
      <c r="I57" s="193" t="s">
        <v>4</v>
      </c>
      <c r="J57" s="194">
        <f>(3.14*0.6*0.77+3.14*0.3*0.3)*1.2</f>
        <v>2.079936</v>
      </c>
      <c r="K57" s="98"/>
      <c r="L57" s="195">
        <f>K57*J57</f>
        <v>0</v>
      </c>
      <c r="M57" s="98"/>
      <c r="N57" s="196" t="s">
        <v>256</v>
      </c>
    </row>
    <row r="58" spans="1:14" s="23" customFormat="1" x14ac:dyDescent="0.35">
      <c r="A58" s="547"/>
      <c r="B58" s="197"/>
      <c r="C58" s="199"/>
      <c r="D58" s="199"/>
      <c r="E58" s="199"/>
      <c r="F58" s="200"/>
      <c r="G58" s="191"/>
      <c r="H58" s="192" t="s">
        <v>65</v>
      </c>
      <c r="I58" s="193" t="s">
        <v>4</v>
      </c>
      <c r="J58" s="194">
        <f>J57</f>
        <v>2.079936</v>
      </c>
      <c r="K58" s="98"/>
      <c r="L58" s="195">
        <f>K58*J58</f>
        <v>0</v>
      </c>
      <c r="M58" s="98"/>
      <c r="N58" s="196"/>
    </row>
    <row r="59" spans="1:14" s="23" customFormat="1" x14ac:dyDescent="0.35">
      <c r="A59" s="547"/>
      <c r="B59" s="197"/>
      <c r="C59" s="199"/>
      <c r="D59" s="199"/>
      <c r="E59" s="199"/>
      <c r="F59" s="200"/>
      <c r="G59" s="191"/>
      <c r="H59" s="192"/>
      <c r="I59" s="193"/>
      <c r="J59" s="194"/>
      <c r="K59" s="195"/>
      <c r="L59" s="195"/>
      <c r="M59" s="195"/>
      <c r="N59" s="196"/>
    </row>
    <row r="60" spans="1:14" s="23" customFormat="1" ht="29" x14ac:dyDescent="0.35">
      <c r="A60" s="547"/>
      <c r="B60" s="197"/>
      <c r="C60" s="199"/>
      <c r="D60" s="199"/>
      <c r="E60" s="199"/>
      <c r="F60" s="200"/>
      <c r="G60" s="191" t="s">
        <v>14</v>
      </c>
      <c r="H60" s="192" t="s">
        <v>281</v>
      </c>
      <c r="I60" s="193" t="s">
        <v>4</v>
      </c>
      <c r="J60" s="194">
        <f>0.3*0.3*3.14</f>
        <v>0.28260000000000002</v>
      </c>
      <c r="K60" s="98"/>
      <c r="L60" s="195">
        <f>K60*J60</f>
        <v>0</v>
      </c>
      <c r="M60" s="98"/>
      <c r="N60" s="410" t="s">
        <v>346</v>
      </c>
    </row>
    <row r="61" spans="1:14" s="23" customFormat="1" x14ac:dyDescent="0.35">
      <c r="A61" s="547"/>
      <c r="B61" s="197"/>
      <c r="C61" s="199"/>
      <c r="D61" s="199"/>
      <c r="E61" s="199"/>
      <c r="F61" s="200"/>
      <c r="G61" s="200"/>
      <c r="H61" s="192"/>
      <c r="I61" s="193"/>
      <c r="J61" s="194"/>
      <c r="K61" s="195"/>
      <c r="L61" s="195"/>
      <c r="M61" s="195"/>
      <c r="N61" s="196"/>
    </row>
    <row r="62" spans="1:14" s="23" customFormat="1" ht="15.5" x14ac:dyDescent="0.35">
      <c r="A62" s="547"/>
      <c r="B62" s="429"/>
      <c r="C62" s="203"/>
      <c r="D62" s="203"/>
      <c r="E62" s="203"/>
      <c r="F62" s="204"/>
      <c r="G62" s="205"/>
      <c r="H62" s="206" t="s">
        <v>211</v>
      </c>
      <c r="I62" s="207"/>
      <c r="J62" s="208"/>
      <c r="K62" s="209"/>
      <c r="L62" s="210">
        <f>SUM(L53:L60)</f>
        <v>0</v>
      </c>
      <c r="M62" s="210">
        <f>SUM(M53:M60)</f>
        <v>0</v>
      </c>
      <c r="N62" s="211"/>
    </row>
    <row r="63" spans="1:14" s="23" customFormat="1" x14ac:dyDescent="0.35">
      <c r="A63" s="547"/>
      <c r="B63" s="197"/>
      <c r="C63" s="199"/>
      <c r="D63" s="199"/>
      <c r="E63" s="199"/>
      <c r="F63" s="199"/>
      <c r="G63" s="199"/>
      <c r="H63" s="222"/>
      <c r="I63" s="222"/>
      <c r="J63" s="223"/>
      <c r="K63" s="222"/>
      <c r="L63" s="222"/>
      <c r="M63" s="222"/>
      <c r="N63" s="196"/>
    </row>
    <row r="64" spans="1:14" s="23" customFormat="1" ht="18.5" x14ac:dyDescent="0.35">
      <c r="A64" s="547"/>
      <c r="B64" s="216"/>
      <c r="C64" s="188" t="s">
        <v>10</v>
      </c>
      <c r="D64" s="188" t="s">
        <v>45</v>
      </c>
      <c r="E64" s="433" t="s">
        <v>117</v>
      </c>
      <c r="F64" s="190" t="s">
        <v>260</v>
      </c>
      <c r="G64" s="191" t="s">
        <v>11</v>
      </c>
      <c r="H64" s="192" t="s">
        <v>228</v>
      </c>
      <c r="I64" s="193" t="s">
        <v>4</v>
      </c>
      <c r="J64" s="194">
        <f>3.14*0.6*0.57</f>
        <v>1.0738799999999999</v>
      </c>
      <c r="K64" s="98"/>
      <c r="L64" s="195">
        <f>K64*J64</f>
        <v>0</v>
      </c>
      <c r="M64" s="98"/>
      <c r="N64" s="196" t="s">
        <v>223</v>
      </c>
    </row>
    <row r="65" spans="1:14" s="23" customFormat="1" ht="18.5" x14ac:dyDescent="0.35">
      <c r="A65" s="547"/>
      <c r="B65" s="197"/>
      <c r="C65" s="198"/>
      <c r="D65" s="198"/>
      <c r="E65" s="199"/>
      <c r="F65" s="200"/>
      <c r="G65" s="191"/>
      <c r="H65" s="192" t="s">
        <v>229</v>
      </c>
      <c r="I65" s="193" t="s">
        <v>4</v>
      </c>
      <c r="J65" s="194">
        <f>3.14*0.3*0.3*4+4*0.1*0.57</f>
        <v>1.3583999999999998</v>
      </c>
      <c r="K65" s="98"/>
      <c r="L65" s="195">
        <f>K65*J65</f>
        <v>0</v>
      </c>
      <c r="M65" s="98"/>
      <c r="N65" s="196"/>
    </row>
    <row r="66" spans="1:14" s="23" customFormat="1" x14ac:dyDescent="0.35">
      <c r="A66" s="547"/>
      <c r="B66" s="197"/>
      <c r="C66" s="199"/>
      <c r="D66" s="199"/>
      <c r="E66" s="199"/>
      <c r="F66" s="200"/>
      <c r="G66" s="191"/>
      <c r="H66" s="192" t="s">
        <v>230</v>
      </c>
      <c r="I66" s="193" t="s">
        <v>4</v>
      </c>
      <c r="J66" s="194">
        <f>3.14*0.3*0.3</f>
        <v>0.28259999999999996</v>
      </c>
      <c r="K66" s="98"/>
      <c r="L66" s="195">
        <f>K66*J66</f>
        <v>0</v>
      </c>
      <c r="M66" s="98"/>
      <c r="N66" s="196"/>
    </row>
    <row r="67" spans="1:14" s="23" customFormat="1" x14ac:dyDescent="0.35">
      <c r="A67" s="547"/>
      <c r="B67" s="197"/>
      <c r="C67" s="199"/>
      <c r="D67" s="199"/>
      <c r="E67" s="199"/>
      <c r="F67" s="200"/>
      <c r="G67" s="191"/>
      <c r="H67" s="192"/>
      <c r="I67" s="193"/>
      <c r="J67" s="194"/>
      <c r="K67" s="195"/>
      <c r="L67" s="195"/>
      <c r="M67" s="195"/>
      <c r="N67" s="196"/>
    </row>
    <row r="68" spans="1:14" s="23" customFormat="1" x14ac:dyDescent="0.35">
      <c r="A68" s="547"/>
      <c r="B68" s="197"/>
      <c r="C68" s="199"/>
      <c r="D68" s="199"/>
      <c r="E68" s="199"/>
      <c r="F68" s="200"/>
      <c r="G68" s="191" t="s">
        <v>13</v>
      </c>
      <c r="H68" s="192" t="s">
        <v>350</v>
      </c>
      <c r="I68" s="193" t="s">
        <v>4</v>
      </c>
      <c r="J68" s="194">
        <f>(3.14*0.6*0.57+3.14*0.3*0.3)*1.2</f>
        <v>1.6277759999999999</v>
      </c>
      <c r="K68" s="98"/>
      <c r="L68" s="195">
        <f>K68*J68</f>
        <v>0</v>
      </c>
      <c r="M68" s="98"/>
      <c r="N68" s="196" t="s">
        <v>256</v>
      </c>
    </row>
    <row r="69" spans="1:14" s="23" customFormat="1" x14ac:dyDescent="0.35">
      <c r="A69" s="547"/>
      <c r="B69" s="197"/>
      <c r="C69" s="199"/>
      <c r="D69" s="199"/>
      <c r="E69" s="199"/>
      <c r="F69" s="200"/>
      <c r="G69" s="191"/>
      <c r="H69" s="192" t="s">
        <v>65</v>
      </c>
      <c r="I69" s="193" t="s">
        <v>4</v>
      </c>
      <c r="J69" s="194">
        <f>J68</f>
        <v>1.6277759999999999</v>
      </c>
      <c r="K69" s="98"/>
      <c r="L69" s="195">
        <f>K69*J69</f>
        <v>0</v>
      </c>
      <c r="M69" s="98"/>
      <c r="N69" s="196"/>
    </row>
    <row r="70" spans="1:14" s="23" customFormat="1" x14ac:dyDescent="0.35">
      <c r="A70" s="547"/>
      <c r="B70" s="197"/>
      <c r="C70" s="199"/>
      <c r="D70" s="199"/>
      <c r="E70" s="199"/>
      <c r="F70" s="200"/>
      <c r="G70" s="191"/>
      <c r="H70" s="192"/>
      <c r="I70" s="193"/>
      <c r="J70" s="194"/>
      <c r="K70" s="195"/>
      <c r="L70" s="195"/>
      <c r="M70" s="195"/>
      <c r="N70" s="196"/>
    </row>
    <row r="71" spans="1:14" s="23" customFormat="1" ht="29" x14ac:dyDescent="0.35">
      <c r="A71" s="547"/>
      <c r="B71" s="197"/>
      <c r="C71" s="199"/>
      <c r="D71" s="199"/>
      <c r="E71" s="199"/>
      <c r="F71" s="200"/>
      <c r="G71" s="191" t="s">
        <v>14</v>
      </c>
      <c r="H71" s="192" t="s">
        <v>261</v>
      </c>
      <c r="I71" s="193" t="s">
        <v>6</v>
      </c>
      <c r="J71" s="194">
        <v>1</v>
      </c>
      <c r="K71" s="98"/>
      <c r="L71" s="195">
        <f>K71*J71</f>
        <v>0</v>
      </c>
      <c r="M71" s="98"/>
      <c r="N71" s="410" t="s">
        <v>346</v>
      </c>
    </row>
    <row r="72" spans="1:14" s="23" customFormat="1" x14ac:dyDescent="0.35">
      <c r="A72" s="547"/>
      <c r="B72" s="197"/>
      <c r="C72" s="199"/>
      <c r="D72" s="199"/>
      <c r="E72" s="199"/>
      <c r="F72" s="200"/>
      <c r="G72" s="200"/>
      <c r="H72" s="192"/>
      <c r="I72" s="193"/>
      <c r="J72" s="194"/>
      <c r="K72" s="195"/>
      <c r="L72" s="195"/>
      <c r="M72" s="195"/>
      <c r="N72" s="196"/>
    </row>
    <row r="73" spans="1:14" s="23" customFormat="1" ht="15.5" x14ac:dyDescent="0.35">
      <c r="A73" s="547"/>
      <c r="B73" s="429"/>
      <c r="C73" s="203"/>
      <c r="D73" s="203"/>
      <c r="E73" s="203"/>
      <c r="F73" s="204"/>
      <c r="G73" s="205"/>
      <c r="H73" s="206" t="s">
        <v>211</v>
      </c>
      <c r="I73" s="207"/>
      <c r="J73" s="208"/>
      <c r="K73" s="209"/>
      <c r="L73" s="210">
        <f>SUM(L64:L71)</f>
        <v>0</v>
      </c>
      <c r="M73" s="210">
        <f>SUM(M64:M71)</f>
        <v>0</v>
      </c>
      <c r="N73" s="211"/>
    </row>
    <row r="74" spans="1:14" s="23" customFormat="1" x14ac:dyDescent="0.35">
      <c r="A74" s="547"/>
      <c r="B74" s="197"/>
      <c r="C74" s="199"/>
      <c r="D74" s="199"/>
      <c r="E74" s="199"/>
      <c r="F74" s="199"/>
      <c r="G74" s="199"/>
      <c r="H74" s="222"/>
      <c r="I74" s="222"/>
      <c r="J74" s="223"/>
      <c r="K74" s="222"/>
      <c r="L74" s="222"/>
      <c r="M74" s="222"/>
      <c r="N74" s="196"/>
    </row>
    <row r="75" spans="1:14" s="23" customFormat="1" ht="18.5" x14ac:dyDescent="0.35">
      <c r="A75" s="547"/>
      <c r="B75" s="216"/>
      <c r="C75" s="188" t="s">
        <v>10</v>
      </c>
      <c r="D75" s="188" t="s">
        <v>45</v>
      </c>
      <c r="E75" s="433" t="s">
        <v>118</v>
      </c>
      <c r="F75" s="190" t="s">
        <v>258</v>
      </c>
      <c r="G75" s="191" t="s">
        <v>11</v>
      </c>
      <c r="H75" s="192" t="s">
        <v>228</v>
      </c>
      <c r="I75" s="193" t="s">
        <v>4</v>
      </c>
      <c r="J75" s="194">
        <f>3.14*0.45*0.77</f>
        <v>1.0880100000000001</v>
      </c>
      <c r="K75" s="98"/>
      <c r="L75" s="195">
        <f>K75*J75</f>
        <v>0</v>
      </c>
      <c r="M75" s="98"/>
      <c r="N75" s="196" t="s">
        <v>223</v>
      </c>
    </row>
    <row r="76" spans="1:14" s="23" customFormat="1" ht="18.5" x14ac:dyDescent="0.35">
      <c r="A76" s="547"/>
      <c r="B76" s="197"/>
      <c r="C76" s="198"/>
      <c r="D76" s="198"/>
      <c r="E76" s="199"/>
      <c r="F76" s="200"/>
      <c r="G76" s="191"/>
      <c r="H76" s="192" t="s">
        <v>229</v>
      </c>
      <c r="I76" s="193" t="s">
        <v>4</v>
      </c>
      <c r="J76" s="194">
        <f>3.14*0.225*0.225*4+4*0.1*0.77</f>
        <v>0.94385000000000008</v>
      </c>
      <c r="K76" s="98"/>
      <c r="L76" s="195">
        <f>K76*J76</f>
        <v>0</v>
      </c>
      <c r="M76" s="98"/>
      <c r="N76" s="196"/>
    </row>
    <row r="77" spans="1:14" s="23" customFormat="1" x14ac:dyDescent="0.35">
      <c r="A77" s="547"/>
      <c r="B77" s="197"/>
      <c r="C77" s="199"/>
      <c r="D77" s="199"/>
      <c r="E77" s="199"/>
      <c r="F77" s="200"/>
      <c r="G77" s="191"/>
      <c r="H77" s="192" t="s">
        <v>230</v>
      </c>
      <c r="I77" s="193" t="s">
        <v>4</v>
      </c>
      <c r="J77" s="194">
        <f>3.14*0.225*0.225</f>
        <v>0.15896250000000001</v>
      </c>
      <c r="K77" s="98"/>
      <c r="L77" s="195">
        <f>K77*J77</f>
        <v>0</v>
      </c>
      <c r="M77" s="98"/>
      <c r="N77" s="196"/>
    </row>
    <row r="78" spans="1:14" s="23" customFormat="1" x14ac:dyDescent="0.35">
      <c r="A78" s="547"/>
      <c r="B78" s="197"/>
      <c r="C78" s="199"/>
      <c r="D78" s="199"/>
      <c r="E78" s="199"/>
      <c r="F78" s="200"/>
      <c r="G78" s="191"/>
      <c r="H78" s="192"/>
      <c r="I78" s="193"/>
      <c r="J78" s="194"/>
      <c r="K78" s="195"/>
      <c r="L78" s="195"/>
      <c r="M78" s="195"/>
      <c r="N78" s="196"/>
    </row>
    <row r="79" spans="1:14" s="23" customFormat="1" x14ac:dyDescent="0.35">
      <c r="A79" s="547"/>
      <c r="B79" s="197"/>
      <c r="C79" s="199"/>
      <c r="D79" s="199"/>
      <c r="E79" s="199"/>
      <c r="F79" s="200"/>
      <c r="G79" s="191" t="s">
        <v>13</v>
      </c>
      <c r="H79" s="192" t="s">
        <v>350</v>
      </c>
      <c r="I79" s="193" t="s">
        <v>4</v>
      </c>
      <c r="J79" s="194">
        <f>(3.14*0.45*0.77+3.14*0.225*0.225)*1.2</f>
        <v>1.496367</v>
      </c>
      <c r="K79" s="98"/>
      <c r="L79" s="195">
        <f>K79*J79</f>
        <v>0</v>
      </c>
      <c r="M79" s="98"/>
      <c r="N79" s="196" t="s">
        <v>256</v>
      </c>
    </row>
    <row r="80" spans="1:14" s="23" customFormat="1" x14ac:dyDescent="0.35">
      <c r="A80" s="547"/>
      <c r="B80" s="197"/>
      <c r="C80" s="199"/>
      <c r="D80" s="199"/>
      <c r="E80" s="199"/>
      <c r="F80" s="200"/>
      <c r="G80" s="191"/>
      <c r="H80" s="192" t="s">
        <v>65</v>
      </c>
      <c r="I80" s="193" t="s">
        <v>4</v>
      </c>
      <c r="J80" s="194">
        <f>J79</f>
        <v>1.496367</v>
      </c>
      <c r="K80" s="98"/>
      <c r="L80" s="195">
        <f>K80*J80</f>
        <v>0</v>
      </c>
      <c r="M80" s="98"/>
      <c r="N80" s="196"/>
    </row>
    <row r="81" spans="1:14" s="23" customFormat="1" x14ac:dyDescent="0.35">
      <c r="A81" s="547"/>
      <c r="B81" s="197"/>
      <c r="C81" s="199"/>
      <c r="D81" s="199"/>
      <c r="E81" s="199"/>
      <c r="F81" s="200"/>
      <c r="G81" s="191"/>
      <c r="H81" s="192"/>
      <c r="I81" s="193"/>
      <c r="J81" s="194"/>
      <c r="K81" s="195"/>
      <c r="L81" s="195"/>
      <c r="M81" s="195"/>
      <c r="N81" s="196"/>
    </row>
    <row r="82" spans="1:14" s="23" customFormat="1" ht="29" x14ac:dyDescent="0.35">
      <c r="A82" s="547"/>
      <c r="B82" s="197"/>
      <c r="C82" s="199"/>
      <c r="D82" s="199"/>
      <c r="E82" s="199"/>
      <c r="F82" s="200"/>
      <c r="G82" s="191" t="s">
        <v>14</v>
      </c>
      <c r="H82" s="192" t="s">
        <v>262</v>
      </c>
      <c r="I82" s="193" t="s">
        <v>6</v>
      </c>
      <c r="J82" s="194">
        <v>1</v>
      </c>
      <c r="K82" s="98"/>
      <c r="L82" s="195">
        <f>K82*J82</f>
        <v>0</v>
      </c>
      <c r="M82" s="98"/>
      <c r="N82" s="410" t="s">
        <v>346</v>
      </c>
    </row>
    <row r="83" spans="1:14" s="23" customFormat="1" x14ac:dyDescent="0.35">
      <c r="A83" s="547"/>
      <c r="B83" s="197"/>
      <c r="C83" s="199"/>
      <c r="D83" s="199"/>
      <c r="E83" s="199"/>
      <c r="F83" s="200"/>
      <c r="G83" s="200"/>
      <c r="H83" s="192"/>
      <c r="I83" s="193"/>
      <c r="J83" s="194"/>
      <c r="K83" s="195"/>
      <c r="L83" s="195"/>
      <c r="M83" s="195"/>
      <c r="N83" s="196"/>
    </row>
    <row r="84" spans="1:14" s="23" customFormat="1" ht="15.5" x14ac:dyDescent="0.35">
      <c r="A84" s="547"/>
      <c r="B84" s="429"/>
      <c r="C84" s="203"/>
      <c r="D84" s="203"/>
      <c r="E84" s="203"/>
      <c r="F84" s="204"/>
      <c r="G84" s="205"/>
      <c r="H84" s="206" t="s">
        <v>211</v>
      </c>
      <c r="I84" s="207"/>
      <c r="J84" s="208"/>
      <c r="K84" s="209"/>
      <c r="L84" s="210">
        <f>SUM(L75:L82)</f>
        <v>0</v>
      </c>
      <c r="M84" s="210">
        <f>SUM(M75:M82)</f>
        <v>0</v>
      </c>
      <c r="N84" s="211"/>
    </row>
    <row r="85" spans="1:14" s="23" customFormat="1" x14ac:dyDescent="0.35">
      <c r="A85" s="547"/>
      <c r="B85" s="197"/>
      <c r="C85" s="199"/>
      <c r="D85" s="199"/>
      <c r="E85" s="199"/>
      <c r="F85" s="199"/>
      <c r="G85" s="199"/>
      <c r="H85" s="222"/>
      <c r="I85" s="222"/>
      <c r="J85" s="223"/>
      <c r="K85" s="222"/>
      <c r="L85" s="222"/>
      <c r="M85" s="222"/>
      <c r="N85" s="196"/>
    </row>
    <row r="86" spans="1:14" s="23" customFormat="1" ht="18.5" x14ac:dyDescent="0.35">
      <c r="A86" s="547"/>
      <c r="B86" s="216"/>
      <c r="C86" s="188" t="s">
        <v>10</v>
      </c>
      <c r="D86" s="188" t="s">
        <v>45</v>
      </c>
      <c r="E86" s="433" t="s">
        <v>119</v>
      </c>
      <c r="F86" s="190" t="s">
        <v>260</v>
      </c>
      <c r="G86" s="191" t="s">
        <v>11</v>
      </c>
      <c r="H86" s="192" t="s">
        <v>228</v>
      </c>
      <c r="I86" s="193" t="s">
        <v>4</v>
      </c>
      <c r="J86" s="194">
        <f>3.14*0.6*0.67</f>
        <v>1.2622800000000001</v>
      </c>
      <c r="K86" s="98"/>
      <c r="L86" s="195">
        <f>K86*J86</f>
        <v>0</v>
      </c>
      <c r="M86" s="98"/>
      <c r="N86" s="196" t="s">
        <v>223</v>
      </c>
    </row>
    <row r="87" spans="1:14" s="23" customFormat="1" ht="18.5" x14ac:dyDescent="0.35">
      <c r="A87" s="547"/>
      <c r="B87" s="197"/>
      <c r="C87" s="198"/>
      <c r="D87" s="198"/>
      <c r="E87" s="199"/>
      <c r="F87" s="200"/>
      <c r="G87" s="191"/>
      <c r="H87" s="192" t="s">
        <v>229</v>
      </c>
      <c r="I87" s="193" t="s">
        <v>4</v>
      </c>
      <c r="J87" s="194">
        <f>3.14*0.3*0.3*4+4*0.1*0.67</f>
        <v>1.3983999999999999</v>
      </c>
      <c r="K87" s="98"/>
      <c r="L87" s="195">
        <f>K87*J87</f>
        <v>0</v>
      </c>
      <c r="M87" s="98"/>
      <c r="N87" s="196"/>
    </row>
    <row r="88" spans="1:14" s="23" customFormat="1" x14ac:dyDescent="0.35">
      <c r="A88" s="547"/>
      <c r="B88" s="197"/>
      <c r="C88" s="199"/>
      <c r="D88" s="199"/>
      <c r="E88" s="199"/>
      <c r="F88" s="200"/>
      <c r="G88" s="191"/>
      <c r="H88" s="192" t="s">
        <v>230</v>
      </c>
      <c r="I88" s="193" t="s">
        <v>4</v>
      </c>
      <c r="J88" s="194">
        <f>3.14*0.3*0.3</f>
        <v>0.28259999999999996</v>
      </c>
      <c r="K88" s="98"/>
      <c r="L88" s="195">
        <f>K88*J88</f>
        <v>0</v>
      </c>
      <c r="M88" s="98"/>
      <c r="N88" s="196"/>
    </row>
    <row r="89" spans="1:14" s="23" customFormat="1" x14ac:dyDescent="0.35">
      <c r="A89" s="547"/>
      <c r="B89" s="197"/>
      <c r="C89" s="199"/>
      <c r="D89" s="199"/>
      <c r="E89" s="199"/>
      <c r="F89" s="200"/>
      <c r="G89" s="191"/>
      <c r="H89" s="192"/>
      <c r="I89" s="193"/>
      <c r="J89" s="194"/>
      <c r="K89" s="195"/>
      <c r="L89" s="195"/>
      <c r="M89" s="195"/>
      <c r="N89" s="196"/>
    </row>
    <row r="90" spans="1:14" s="23" customFormat="1" x14ac:dyDescent="0.35">
      <c r="A90" s="547"/>
      <c r="B90" s="197"/>
      <c r="C90" s="199"/>
      <c r="D90" s="199"/>
      <c r="E90" s="199"/>
      <c r="F90" s="200"/>
      <c r="G90" s="191" t="s">
        <v>13</v>
      </c>
      <c r="H90" s="192" t="s">
        <v>350</v>
      </c>
      <c r="I90" s="193" t="s">
        <v>4</v>
      </c>
      <c r="J90" s="194">
        <f>(3.14*0.6*0.67+3.14*0.3*0.3)*1.2</f>
        <v>1.8538559999999999</v>
      </c>
      <c r="K90" s="98"/>
      <c r="L90" s="195">
        <f>K90*J90</f>
        <v>0</v>
      </c>
      <c r="M90" s="98"/>
      <c r="N90" s="196" t="s">
        <v>256</v>
      </c>
    </row>
    <row r="91" spans="1:14" s="23" customFormat="1" x14ac:dyDescent="0.35">
      <c r="A91" s="547"/>
      <c r="B91" s="197"/>
      <c r="C91" s="199"/>
      <c r="D91" s="199"/>
      <c r="E91" s="199"/>
      <c r="F91" s="200"/>
      <c r="G91" s="191"/>
      <c r="H91" s="192" t="s">
        <v>65</v>
      </c>
      <c r="I91" s="193" t="s">
        <v>4</v>
      </c>
      <c r="J91" s="194">
        <f>J90</f>
        <v>1.8538559999999999</v>
      </c>
      <c r="K91" s="98"/>
      <c r="L91" s="195">
        <f>K91*J91</f>
        <v>0</v>
      </c>
      <c r="M91" s="98"/>
      <c r="N91" s="196"/>
    </row>
    <row r="92" spans="1:14" s="23" customFormat="1" x14ac:dyDescent="0.35">
      <c r="A92" s="547"/>
      <c r="B92" s="197"/>
      <c r="C92" s="199"/>
      <c r="D92" s="199"/>
      <c r="E92" s="199"/>
      <c r="F92" s="200"/>
      <c r="G92" s="191"/>
      <c r="H92" s="192"/>
      <c r="I92" s="193"/>
      <c r="J92" s="194"/>
      <c r="K92" s="195"/>
      <c r="L92" s="195"/>
      <c r="M92" s="195"/>
      <c r="N92" s="196"/>
    </row>
    <row r="93" spans="1:14" s="23" customFormat="1" ht="29" x14ac:dyDescent="0.35">
      <c r="A93" s="547"/>
      <c r="B93" s="197"/>
      <c r="C93" s="199"/>
      <c r="D93" s="199"/>
      <c r="E93" s="199"/>
      <c r="F93" s="200"/>
      <c r="G93" s="191" t="s">
        <v>14</v>
      </c>
      <c r="H93" s="192" t="s">
        <v>263</v>
      </c>
      <c r="I93" s="193" t="s">
        <v>6</v>
      </c>
      <c r="J93" s="194">
        <v>1</v>
      </c>
      <c r="K93" s="98"/>
      <c r="L93" s="195">
        <f>K93*J93</f>
        <v>0</v>
      </c>
      <c r="M93" s="98"/>
      <c r="N93" s="410" t="s">
        <v>346</v>
      </c>
    </row>
    <row r="94" spans="1:14" s="23" customFormat="1" x14ac:dyDescent="0.35">
      <c r="A94" s="547"/>
      <c r="B94" s="197"/>
      <c r="C94" s="199"/>
      <c r="D94" s="199"/>
      <c r="E94" s="199"/>
      <c r="F94" s="200"/>
      <c r="G94" s="200"/>
      <c r="H94" s="192"/>
      <c r="I94" s="193"/>
      <c r="J94" s="194"/>
      <c r="K94" s="195"/>
      <c r="L94" s="195"/>
      <c r="M94" s="195"/>
      <c r="N94" s="196"/>
    </row>
    <row r="95" spans="1:14" s="23" customFormat="1" ht="15.5" x14ac:dyDescent="0.35">
      <c r="A95" s="547"/>
      <c r="B95" s="429"/>
      <c r="C95" s="203"/>
      <c r="D95" s="203"/>
      <c r="E95" s="203"/>
      <c r="F95" s="204"/>
      <c r="G95" s="205"/>
      <c r="H95" s="206" t="s">
        <v>211</v>
      </c>
      <c r="I95" s="207"/>
      <c r="J95" s="208"/>
      <c r="K95" s="209"/>
      <c r="L95" s="210">
        <f>SUM(L86:L93)</f>
        <v>0</v>
      </c>
      <c r="M95" s="210">
        <f>SUM(M86:M93)</f>
        <v>0</v>
      </c>
      <c r="N95" s="211"/>
    </row>
    <row r="96" spans="1:14" s="23" customFormat="1" x14ac:dyDescent="0.35">
      <c r="A96" s="547"/>
      <c r="B96" s="197"/>
      <c r="C96" s="199"/>
      <c r="D96" s="199"/>
      <c r="E96" s="199"/>
      <c r="F96" s="199"/>
      <c r="G96" s="199"/>
      <c r="H96" s="222"/>
      <c r="I96" s="222"/>
      <c r="J96" s="223"/>
      <c r="K96" s="222"/>
      <c r="L96" s="222"/>
      <c r="M96" s="222"/>
      <c r="N96" s="196"/>
    </row>
    <row r="97" spans="1:14" s="23" customFormat="1" ht="43.5" x14ac:dyDescent="0.35">
      <c r="A97" s="547"/>
      <c r="B97" s="216"/>
      <c r="C97" s="188" t="s">
        <v>10</v>
      </c>
      <c r="D97" s="188" t="s">
        <v>45</v>
      </c>
      <c r="E97" s="434" t="s">
        <v>336</v>
      </c>
      <c r="F97" s="190" t="s">
        <v>220</v>
      </c>
      <c r="G97" s="191" t="s">
        <v>120</v>
      </c>
      <c r="H97" s="192" t="s">
        <v>219</v>
      </c>
      <c r="I97" s="193" t="s">
        <v>6</v>
      </c>
      <c r="J97" s="194">
        <v>3</v>
      </c>
      <c r="K97" s="98"/>
      <c r="L97" s="195">
        <f>K97*J97</f>
        <v>0</v>
      </c>
      <c r="M97" s="98"/>
      <c r="N97" s="410" t="s">
        <v>342</v>
      </c>
    </row>
    <row r="98" spans="1:14" s="23" customFormat="1" ht="18.5" x14ac:dyDescent="0.35">
      <c r="A98" s="547"/>
      <c r="B98" s="197"/>
      <c r="C98" s="198"/>
      <c r="D98" s="198"/>
      <c r="E98" s="199"/>
      <c r="F98" s="200"/>
      <c r="G98" s="191"/>
      <c r="H98" s="192"/>
      <c r="I98" s="193"/>
      <c r="J98" s="194"/>
      <c r="K98" s="195"/>
      <c r="L98" s="195"/>
      <c r="M98" s="195"/>
      <c r="N98" s="196"/>
    </row>
    <row r="99" spans="1:14" s="23" customFormat="1" ht="15.5" x14ac:dyDescent="0.35">
      <c r="A99" s="547"/>
      <c r="B99" s="197"/>
      <c r="C99" s="199"/>
      <c r="D99" s="199"/>
      <c r="E99" s="199"/>
      <c r="F99" s="190" t="s">
        <v>221</v>
      </c>
      <c r="G99" s="191" t="s">
        <v>120</v>
      </c>
      <c r="H99" s="192" t="s">
        <v>219</v>
      </c>
      <c r="I99" s="193" t="s">
        <v>6</v>
      </c>
      <c r="J99" s="194">
        <v>3</v>
      </c>
      <c r="K99" s="98"/>
      <c r="L99" s="195">
        <f>K99*J99</f>
        <v>0</v>
      </c>
      <c r="M99" s="98"/>
      <c r="N99" s="196"/>
    </row>
    <row r="100" spans="1:14" s="23" customFormat="1" x14ac:dyDescent="0.35">
      <c r="A100" s="547"/>
      <c r="B100" s="197"/>
      <c r="C100" s="199"/>
      <c r="D100" s="199"/>
      <c r="E100" s="199"/>
      <c r="F100" s="200"/>
      <c r="G100" s="191"/>
      <c r="H100" s="192"/>
      <c r="I100" s="193"/>
      <c r="J100" s="194"/>
      <c r="K100" s="195"/>
      <c r="L100" s="195"/>
      <c r="M100" s="195"/>
      <c r="N100" s="196"/>
    </row>
    <row r="101" spans="1:14" s="23" customFormat="1" ht="15.5" x14ac:dyDescent="0.35">
      <c r="A101" s="547"/>
      <c r="B101" s="197"/>
      <c r="C101" s="199"/>
      <c r="D101" s="199"/>
      <c r="E101" s="199"/>
      <c r="F101" s="190" t="s">
        <v>222</v>
      </c>
      <c r="G101" s="191" t="s">
        <v>120</v>
      </c>
      <c r="H101" s="192" t="s">
        <v>219</v>
      </c>
      <c r="I101" s="193" t="s">
        <v>6</v>
      </c>
      <c r="J101" s="194">
        <v>5</v>
      </c>
      <c r="K101" s="98"/>
      <c r="L101" s="195">
        <f>K101*J101</f>
        <v>0</v>
      </c>
      <c r="M101" s="98"/>
      <c r="N101" s="196"/>
    </row>
    <row r="102" spans="1:14" s="23" customFormat="1" x14ac:dyDescent="0.35">
      <c r="A102" s="547"/>
      <c r="B102" s="197"/>
      <c r="C102" s="199"/>
      <c r="D102" s="199"/>
      <c r="E102" s="199"/>
      <c r="F102" s="200"/>
      <c r="G102" s="200"/>
      <c r="H102" s="192"/>
      <c r="I102" s="193"/>
      <c r="J102" s="194"/>
      <c r="K102" s="195"/>
      <c r="L102" s="195"/>
      <c r="M102" s="195"/>
      <c r="N102" s="196"/>
    </row>
    <row r="103" spans="1:14" s="23" customFormat="1" ht="15.5" x14ac:dyDescent="0.35">
      <c r="A103" s="547"/>
      <c r="B103" s="429"/>
      <c r="C103" s="203"/>
      <c r="D103" s="203"/>
      <c r="E103" s="203"/>
      <c r="F103" s="204"/>
      <c r="G103" s="205"/>
      <c r="H103" s="206" t="s">
        <v>211</v>
      </c>
      <c r="I103" s="207"/>
      <c r="J103" s="208"/>
      <c r="K103" s="209"/>
      <c r="L103" s="210">
        <f>SUM(L97:L101)</f>
        <v>0</v>
      </c>
      <c r="M103" s="210">
        <f>SUM(M97:M101)</f>
        <v>0</v>
      </c>
      <c r="N103" s="211"/>
    </row>
    <row r="104" spans="1:14" s="23" customFormat="1" ht="15.5" x14ac:dyDescent="0.35">
      <c r="A104" s="547"/>
      <c r="B104" s="197"/>
      <c r="C104" s="199"/>
      <c r="D104" s="199"/>
      <c r="E104" s="199"/>
      <c r="F104" s="411"/>
      <c r="G104" s="412"/>
      <c r="H104" s="430"/>
      <c r="I104" s="413"/>
      <c r="J104" s="414"/>
      <c r="K104" s="415"/>
      <c r="L104" s="431"/>
      <c r="M104" s="431"/>
      <c r="N104" s="196"/>
    </row>
    <row r="105" spans="1:14" s="23" customFormat="1" ht="29" x14ac:dyDescent="0.35">
      <c r="A105" s="547"/>
      <c r="B105" s="216"/>
      <c r="C105" s="188" t="s">
        <v>10</v>
      </c>
      <c r="D105" s="188" t="s">
        <v>45</v>
      </c>
      <c r="E105" s="433" t="s">
        <v>121</v>
      </c>
      <c r="F105" s="190" t="s">
        <v>233</v>
      </c>
      <c r="G105" s="191" t="s">
        <v>120</v>
      </c>
      <c r="H105" s="192" t="s">
        <v>264</v>
      </c>
      <c r="I105" s="193" t="s">
        <v>6</v>
      </c>
      <c r="J105" s="194">
        <v>4</v>
      </c>
      <c r="K105" s="98"/>
      <c r="L105" s="195">
        <f>K105*J105</f>
        <v>0</v>
      </c>
      <c r="M105" s="98"/>
      <c r="N105" s="410" t="s">
        <v>346</v>
      </c>
    </row>
    <row r="106" spans="1:14" s="23" customFormat="1" x14ac:dyDescent="0.35">
      <c r="A106" s="547"/>
      <c r="B106" s="197"/>
      <c r="C106" s="199"/>
      <c r="D106" s="199"/>
      <c r="E106" s="199"/>
      <c r="F106" s="200"/>
      <c r="G106" s="200"/>
      <c r="H106" s="192"/>
      <c r="I106" s="193"/>
      <c r="J106" s="194"/>
      <c r="K106" s="195"/>
      <c r="L106" s="195"/>
      <c r="M106" s="195"/>
      <c r="N106" s="196"/>
    </row>
    <row r="107" spans="1:14" s="23" customFormat="1" ht="15.5" x14ac:dyDescent="0.35">
      <c r="A107" s="547"/>
      <c r="B107" s="429"/>
      <c r="C107" s="203"/>
      <c r="D107" s="203"/>
      <c r="E107" s="203"/>
      <c r="F107" s="204"/>
      <c r="G107" s="205"/>
      <c r="H107" s="206" t="s">
        <v>211</v>
      </c>
      <c r="I107" s="207"/>
      <c r="J107" s="208"/>
      <c r="K107" s="209"/>
      <c r="L107" s="210">
        <f>SUM(L105:L105)</f>
        <v>0</v>
      </c>
      <c r="M107" s="210">
        <f>SUM(M105:M105)</f>
        <v>0</v>
      </c>
      <c r="N107" s="211"/>
    </row>
    <row r="108" spans="1:14" s="23" customFormat="1" ht="15.5" x14ac:dyDescent="0.35">
      <c r="A108" s="547"/>
      <c r="B108" s="197"/>
      <c r="C108" s="199"/>
      <c r="D108" s="199"/>
      <c r="E108" s="199"/>
      <c r="F108" s="411"/>
      <c r="G108" s="412"/>
      <c r="H108" s="430"/>
      <c r="I108" s="413"/>
      <c r="J108" s="414"/>
      <c r="K108" s="415"/>
      <c r="L108" s="431"/>
      <c r="M108" s="431"/>
      <c r="N108" s="196"/>
    </row>
    <row r="109" spans="1:14" s="23" customFormat="1" ht="18.5" x14ac:dyDescent="0.35">
      <c r="A109" s="547"/>
      <c r="B109" s="216"/>
      <c r="C109" s="188" t="s">
        <v>10</v>
      </c>
      <c r="D109" s="188" t="s">
        <v>46</v>
      </c>
      <c r="E109" s="189"/>
      <c r="F109" s="190" t="s">
        <v>123</v>
      </c>
      <c r="G109" s="191" t="s">
        <v>11</v>
      </c>
      <c r="H109" s="192" t="s">
        <v>226</v>
      </c>
      <c r="I109" s="193" t="s">
        <v>4</v>
      </c>
      <c r="J109" s="194">
        <f>2.1*4+2.1*2*0.07+2*0.05*4</f>
        <v>9.0940000000000012</v>
      </c>
      <c r="K109" s="98"/>
      <c r="L109" s="195">
        <f>K109*J109</f>
        <v>0</v>
      </c>
      <c r="M109" s="98"/>
      <c r="N109" s="196" t="s">
        <v>292</v>
      </c>
    </row>
    <row r="110" spans="1:14" s="23" customFormat="1" ht="18.5" x14ac:dyDescent="0.35">
      <c r="A110" s="547"/>
      <c r="B110" s="197"/>
      <c r="C110" s="198"/>
      <c r="D110" s="198"/>
      <c r="E110" s="199"/>
      <c r="F110" s="200"/>
      <c r="G110" s="191"/>
      <c r="H110" s="192"/>
      <c r="I110" s="193"/>
      <c r="J110" s="194"/>
      <c r="K110" s="201"/>
      <c r="L110" s="195"/>
      <c r="M110" s="195"/>
      <c r="N110" s="196"/>
    </row>
    <row r="111" spans="1:14" s="23" customFormat="1" x14ac:dyDescent="0.35">
      <c r="A111" s="547"/>
      <c r="B111" s="197"/>
      <c r="C111" s="199"/>
      <c r="D111" s="199"/>
      <c r="E111" s="199"/>
      <c r="F111" s="200"/>
      <c r="G111" s="191" t="s">
        <v>12</v>
      </c>
      <c r="H111" s="192" t="s">
        <v>284</v>
      </c>
      <c r="I111" s="193" t="s">
        <v>5</v>
      </c>
      <c r="J111" s="194">
        <f>4*2.1+2*4</f>
        <v>16.399999999999999</v>
      </c>
      <c r="K111" s="100"/>
      <c r="L111" s="195">
        <f>K111*J111</f>
        <v>0</v>
      </c>
      <c r="M111" s="98"/>
      <c r="N111" s="196" t="s">
        <v>144</v>
      </c>
    </row>
    <row r="112" spans="1:14" s="23" customFormat="1" x14ac:dyDescent="0.35">
      <c r="A112" s="547"/>
      <c r="B112" s="197"/>
      <c r="C112" s="199"/>
      <c r="D112" s="199"/>
      <c r="E112" s="199"/>
      <c r="F112" s="200"/>
      <c r="G112" s="191"/>
      <c r="H112" s="192"/>
      <c r="I112" s="193"/>
      <c r="J112" s="194"/>
      <c r="K112" s="195"/>
      <c r="L112" s="195"/>
      <c r="M112" s="195"/>
      <c r="N112" s="196"/>
    </row>
    <row r="113" spans="1:14" s="23" customFormat="1" x14ac:dyDescent="0.35">
      <c r="A113" s="547"/>
      <c r="B113" s="197"/>
      <c r="C113" s="199"/>
      <c r="D113" s="199"/>
      <c r="E113" s="199"/>
      <c r="F113" s="200"/>
      <c r="G113" s="191" t="s">
        <v>13</v>
      </c>
      <c r="H113" s="192" t="s">
        <v>114</v>
      </c>
      <c r="I113" s="193" t="s">
        <v>4</v>
      </c>
      <c r="J113" s="194">
        <f>2*2.1*(0.07+0.05)+4*0.05*2</f>
        <v>0.90400000000000014</v>
      </c>
      <c r="K113" s="98"/>
      <c r="L113" s="195">
        <f>K113*J113</f>
        <v>0</v>
      </c>
      <c r="M113" s="98"/>
      <c r="N113" s="196" t="s">
        <v>256</v>
      </c>
    </row>
    <row r="114" spans="1:14" s="23" customFormat="1" x14ac:dyDescent="0.35">
      <c r="A114" s="547"/>
      <c r="B114" s="197"/>
      <c r="C114" s="199"/>
      <c r="D114" s="199"/>
      <c r="E114" s="199"/>
      <c r="F114" s="200"/>
      <c r="G114" s="191"/>
      <c r="H114" s="192" t="s">
        <v>65</v>
      </c>
      <c r="I114" s="193" t="s">
        <v>4</v>
      </c>
      <c r="J114" s="194">
        <f>2.1*4+2.1*2*0.07</f>
        <v>8.6940000000000008</v>
      </c>
      <c r="K114" s="98"/>
      <c r="L114" s="195">
        <f>K114*J114</f>
        <v>0</v>
      </c>
      <c r="M114" s="98"/>
      <c r="N114" s="196"/>
    </row>
    <row r="115" spans="1:14" s="23" customFormat="1" x14ac:dyDescent="0.35">
      <c r="A115" s="547"/>
      <c r="B115" s="197"/>
      <c r="C115" s="199"/>
      <c r="D115" s="199"/>
      <c r="E115" s="199"/>
      <c r="F115" s="200"/>
      <c r="G115" s="191"/>
      <c r="H115" s="192"/>
      <c r="I115" s="193"/>
      <c r="J115" s="194"/>
      <c r="K115" s="195"/>
      <c r="L115" s="195"/>
      <c r="M115" s="195"/>
      <c r="N115" s="196"/>
    </row>
    <row r="116" spans="1:14" s="23" customFormat="1" x14ac:dyDescent="0.35">
      <c r="A116" s="547"/>
      <c r="B116" s="197"/>
      <c r="C116" s="199"/>
      <c r="D116" s="199"/>
      <c r="E116" s="199"/>
      <c r="F116" s="200"/>
      <c r="G116" s="200" t="s">
        <v>17</v>
      </c>
      <c r="H116" s="192" t="s">
        <v>227</v>
      </c>
      <c r="I116" s="193" t="s">
        <v>6</v>
      </c>
      <c r="J116" s="194">
        <v>4</v>
      </c>
      <c r="K116" s="98"/>
      <c r="L116" s="195">
        <f>K116*J116</f>
        <v>0</v>
      </c>
      <c r="M116" s="98"/>
      <c r="N116" s="196"/>
    </row>
    <row r="117" spans="1:14" s="23" customFormat="1" x14ac:dyDescent="0.35">
      <c r="A117" s="547"/>
      <c r="B117" s="197"/>
      <c r="C117" s="199"/>
      <c r="D117" s="199"/>
      <c r="E117" s="199"/>
      <c r="F117" s="200"/>
      <c r="G117" s="200"/>
      <c r="H117" s="192" t="s">
        <v>265</v>
      </c>
      <c r="I117" s="193" t="s">
        <v>5</v>
      </c>
      <c r="J117" s="194">
        <v>4</v>
      </c>
      <c r="K117" s="98"/>
      <c r="L117" s="195">
        <f>K117*J117</f>
        <v>0</v>
      </c>
      <c r="M117" s="98"/>
      <c r="N117" s="196"/>
    </row>
    <row r="118" spans="1:14" s="23" customFormat="1" x14ac:dyDescent="0.35">
      <c r="A118" s="547"/>
      <c r="B118" s="197"/>
      <c r="C118" s="199"/>
      <c r="D118" s="199"/>
      <c r="E118" s="199"/>
      <c r="F118" s="200"/>
      <c r="G118" s="200"/>
      <c r="H118" s="192"/>
      <c r="I118" s="193"/>
      <c r="J118" s="194"/>
      <c r="K118" s="195"/>
      <c r="L118" s="195"/>
      <c r="M118" s="195"/>
      <c r="N118" s="196"/>
    </row>
    <row r="119" spans="1:14" s="23" customFormat="1" ht="15.5" x14ac:dyDescent="0.35">
      <c r="A119" s="547"/>
      <c r="B119" s="429"/>
      <c r="C119" s="203"/>
      <c r="D119" s="203"/>
      <c r="E119" s="203"/>
      <c r="F119" s="204"/>
      <c r="G119" s="205"/>
      <c r="H119" s="206" t="s">
        <v>211</v>
      </c>
      <c r="I119" s="207"/>
      <c r="J119" s="208"/>
      <c r="K119" s="209"/>
      <c r="L119" s="210">
        <f>SUM(L109:L117)</f>
        <v>0</v>
      </c>
      <c r="M119" s="210">
        <f>SUM(M109:M117)</f>
        <v>0</v>
      </c>
      <c r="N119" s="211"/>
    </row>
    <row r="120" spans="1:14" ht="15" thickBot="1" x14ac:dyDescent="0.4">
      <c r="A120" s="547"/>
      <c r="B120" s="197"/>
      <c r="C120" s="199"/>
      <c r="D120" s="199"/>
      <c r="E120" s="199"/>
      <c r="F120" s="199"/>
      <c r="G120" s="199"/>
      <c r="H120" s="222"/>
      <c r="I120" s="222"/>
      <c r="J120" s="223"/>
      <c r="K120" s="222"/>
      <c r="L120" s="222"/>
      <c r="M120" s="222"/>
      <c r="N120" s="196"/>
    </row>
    <row r="121" spans="1:14" ht="19" thickBot="1" x14ac:dyDescent="0.4">
      <c r="A121" s="547"/>
      <c r="B121" s="526" t="s">
        <v>18</v>
      </c>
      <c r="C121" s="527"/>
      <c r="D121" s="527"/>
      <c r="E121" s="527"/>
      <c r="F121" s="527"/>
      <c r="G121" s="224"/>
      <c r="H121" s="224" t="s">
        <v>211</v>
      </c>
      <c r="I121" s="225"/>
      <c r="J121" s="226"/>
      <c r="K121" s="227"/>
      <c r="L121" s="228">
        <f>L119+L107+L103+L95+L84+L73+L62+L51+L40+L29+L24</f>
        <v>0</v>
      </c>
      <c r="M121" s="229">
        <f>M119+M107+M103+M95+M84+M73+M62+M51+M40+M29+M24</f>
        <v>0</v>
      </c>
      <c r="N121" s="196"/>
    </row>
    <row r="122" spans="1:14" ht="19" thickBot="1" x14ac:dyDescent="0.4">
      <c r="A122" s="548"/>
      <c r="B122" s="230"/>
      <c r="C122" s="231"/>
      <c r="D122" s="231"/>
      <c r="E122" s="232"/>
      <c r="F122" s="233"/>
      <c r="G122" s="233"/>
      <c r="H122" s="234"/>
      <c r="I122" s="235"/>
      <c r="J122" s="236"/>
      <c r="K122" s="237"/>
      <c r="L122" s="238"/>
      <c r="M122" s="239"/>
      <c r="N122" s="240"/>
    </row>
    <row r="123" spans="1:14" ht="18.5" x14ac:dyDescent="0.35">
      <c r="A123" s="538" t="s">
        <v>20</v>
      </c>
      <c r="B123" s="197"/>
      <c r="C123" s="198"/>
      <c r="D123" s="198"/>
      <c r="E123" s="199"/>
      <c r="F123" s="200"/>
      <c r="G123" s="200"/>
      <c r="H123" s="222"/>
      <c r="I123" s="193"/>
      <c r="J123" s="194"/>
      <c r="K123" s="195"/>
      <c r="L123" s="195"/>
      <c r="M123" s="195"/>
      <c r="N123" s="186"/>
    </row>
    <row r="124" spans="1:14" s="23" customFormat="1" ht="18.5" x14ac:dyDescent="0.35">
      <c r="A124" s="539"/>
      <c r="B124" s="216"/>
      <c r="C124" s="188" t="s">
        <v>19</v>
      </c>
      <c r="D124" s="188" t="s">
        <v>43</v>
      </c>
      <c r="E124" s="189"/>
      <c r="F124" s="190" t="s">
        <v>124</v>
      </c>
      <c r="G124" s="191"/>
      <c r="H124" s="192" t="s">
        <v>22</v>
      </c>
      <c r="I124" s="193" t="s">
        <v>4</v>
      </c>
      <c r="J124" s="194">
        <v>2</v>
      </c>
      <c r="K124" s="98"/>
      <c r="L124" s="195">
        <f>K124*J124</f>
        <v>0</v>
      </c>
      <c r="M124" s="98"/>
      <c r="N124" s="196"/>
    </row>
    <row r="125" spans="1:14" s="23" customFormat="1" x14ac:dyDescent="0.35">
      <c r="A125" s="539"/>
      <c r="B125" s="197"/>
      <c r="C125" s="199"/>
      <c r="D125" s="199"/>
      <c r="E125" s="199"/>
      <c r="F125" s="200"/>
      <c r="G125" s="200"/>
      <c r="H125" s="192"/>
      <c r="I125" s="193"/>
      <c r="J125" s="194"/>
      <c r="K125" s="195"/>
      <c r="L125" s="195"/>
      <c r="M125" s="195"/>
      <c r="N125" s="196"/>
    </row>
    <row r="126" spans="1:14" s="23" customFormat="1" ht="15.5" x14ac:dyDescent="0.35">
      <c r="A126" s="539"/>
      <c r="B126" s="429"/>
      <c r="C126" s="203"/>
      <c r="D126" s="203"/>
      <c r="E126" s="203"/>
      <c r="F126" s="204"/>
      <c r="G126" s="205"/>
      <c r="H126" s="206" t="s">
        <v>211</v>
      </c>
      <c r="I126" s="207"/>
      <c r="J126" s="208"/>
      <c r="K126" s="209"/>
      <c r="L126" s="210">
        <f>SUM(L124:L124)</f>
        <v>0</v>
      </c>
      <c r="M126" s="210">
        <f>SUM(M124:M124)</f>
        <v>0</v>
      </c>
      <c r="N126" s="211"/>
    </row>
    <row r="127" spans="1:14" ht="15.5" x14ac:dyDescent="0.35">
      <c r="A127" s="539"/>
      <c r="B127" s="197"/>
      <c r="C127" s="199"/>
      <c r="D127" s="199"/>
      <c r="E127" s="199"/>
      <c r="F127" s="411"/>
      <c r="G127" s="412"/>
      <c r="H127" s="430"/>
      <c r="I127" s="413"/>
      <c r="J127" s="414"/>
      <c r="K127" s="415"/>
      <c r="L127" s="435"/>
      <c r="M127" s="435"/>
      <c r="N127" s="196"/>
    </row>
    <row r="128" spans="1:14" ht="18.5" x14ac:dyDescent="0.35">
      <c r="A128" s="539"/>
      <c r="B128" s="216"/>
      <c r="C128" s="188" t="s">
        <v>19</v>
      </c>
      <c r="D128" s="188" t="s">
        <v>44</v>
      </c>
      <c r="E128" s="189"/>
      <c r="F128" s="190" t="s">
        <v>142</v>
      </c>
      <c r="G128" s="191"/>
      <c r="H128" s="192" t="s">
        <v>22</v>
      </c>
      <c r="I128" s="193" t="s">
        <v>4</v>
      </c>
      <c r="J128" s="194">
        <f>3.14*((0.15*0.15)*15+(0.225*0.225)*3+(0.3*0.3)*3)</f>
        <v>2.3844375000000002</v>
      </c>
      <c r="K128" s="98"/>
      <c r="L128" s="195">
        <f>K128*J128</f>
        <v>0</v>
      </c>
      <c r="M128" s="98"/>
      <c r="N128" s="196"/>
    </row>
    <row r="129" spans="1:14" x14ac:dyDescent="0.35">
      <c r="A129" s="539"/>
      <c r="B129" s="197"/>
      <c r="C129" s="199"/>
      <c r="D129" s="199"/>
      <c r="E129" s="199"/>
      <c r="F129" s="200"/>
      <c r="G129" s="200"/>
      <c r="H129" s="192"/>
      <c r="I129" s="193"/>
      <c r="J129" s="194"/>
      <c r="K129" s="195"/>
      <c r="L129" s="195"/>
      <c r="M129" s="195"/>
      <c r="N129" s="196"/>
    </row>
    <row r="130" spans="1:14" ht="15.5" x14ac:dyDescent="0.35">
      <c r="A130" s="539"/>
      <c r="B130" s="429"/>
      <c r="C130" s="203"/>
      <c r="D130" s="203"/>
      <c r="E130" s="203"/>
      <c r="F130" s="204"/>
      <c r="G130" s="205"/>
      <c r="H130" s="206" t="s">
        <v>211</v>
      </c>
      <c r="I130" s="207"/>
      <c r="J130" s="208"/>
      <c r="K130" s="209"/>
      <c r="L130" s="210">
        <f>SUM(L128:L128)</f>
        <v>0</v>
      </c>
      <c r="M130" s="210">
        <f>SUM(M128:M128)</f>
        <v>0</v>
      </c>
      <c r="N130" s="211"/>
    </row>
    <row r="131" spans="1:14" s="23" customFormat="1" ht="15.5" x14ac:dyDescent="0.35">
      <c r="A131" s="539"/>
      <c r="B131" s="197"/>
      <c r="C131" s="199"/>
      <c r="D131" s="199"/>
      <c r="E131" s="199"/>
      <c r="F131" s="411"/>
      <c r="G131" s="412"/>
      <c r="H131" s="430"/>
      <c r="I131" s="413"/>
      <c r="J131" s="414"/>
      <c r="K131" s="415"/>
      <c r="L131" s="435"/>
      <c r="M131" s="435"/>
      <c r="N131" s="196"/>
    </row>
    <row r="132" spans="1:14" s="23" customFormat="1" ht="18.5" x14ac:dyDescent="0.35">
      <c r="A132" s="539"/>
      <c r="B132" s="216"/>
      <c r="C132" s="188" t="s">
        <v>19</v>
      </c>
      <c r="D132" s="188" t="s">
        <v>45</v>
      </c>
      <c r="E132" s="189"/>
      <c r="F132" s="190" t="s">
        <v>47</v>
      </c>
      <c r="G132" s="191"/>
      <c r="H132" s="192" t="s">
        <v>22</v>
      </c>
      <c r="I132" s="193" t="s">
        <v>4</v>
      </c>
      <c r="J132" s="194">
        <f>2.1*4</f>
        <v>8.4</v>
      </c>
      <c r="K132" s="98"/>
      <c r="L132" s="195">
        <f>K132*J132</f>
        <v>0</v>
      </c>
      <c r="M132" s="98"/>
      <c r="N132" s="196"/>
    </row>
    <row r="133" spans="1:14" s="23" customFormat="1" x14ac:dyDescent="0.35">
      <c r="A133" s="539"/>
      <c r="B133" s="197"/>
      <c r="C133" s="199"/>
      <c r="D133" s="199"/>
      <c r="E133" s="199"/>
      <c r="F133" s="200"/>
      <c r="G133" s="200"/>
      <c r="H133" s="192"/>
      <c r="I133" s="193"/>
      <c r="J133" s="194"/>
      <c r="K133" s="195"/>
      <c r="L133" s="195"/>
      <c r="M133" s="195"/>
      <c r="N133" s="196"/>
    </row>
    <row r="134" spans="1:14" s="23" customFormat="1" ht="15.5" x14ac:dyDescent="0.35">
      <c r="A134" s="539"/>
      <c r="B134" s="429"/>
      <c r="C134" s="203"/>
      <c r="D134" s="203"/>
      <c r="E134" s="203"/>
      <c r="F134" s="204"/>
      <c r="G134" s="205"/>
      <c r="H134" s="206" t="s">
        <v>211</v>
      </c>
      <c r="I134" s="207"/>
      <c r="J134" s="208"/>
      <c r="K134" s="209"/>
      <c r="L134" s="210">
        <f>SUM(L132:L132)</f>
        <v>0</v>
      </c>
      <c r="M134" s="210">
        <f>SUM(M132:M132)</f>
        <v>0</v>
      </c>
      <c r="N134" s="211"/>
    </row>
    <row r="135" spans="1:14" s="23" customFormat="1" x14ac:dyDescent="0.35">
      <c r="A135" s="539"/>
      <c r="B135" s="162"/>
      <c r="C135" s="163"/>
      <c r="D135" s="163"/>
      <c r="E135" s="163"/>
      <c r="F135" s="199"/>
      <c r="G135" s="199"/>
      <c r="H135" s="222"/>
      <c r="I135" s="222"/>
      <c r="J135" s="223"/>
      <c r="K135" s="222"/>
      <c r="L135" s="222"/>
      <c r="M135" s="222"/>
      <c r="N135" s="196"/>
    </row>
    <row r="136" spans="1:14" s="23" customFormat="1" ht="29" x14ac:dyDescent="0.35">
      <c r="A136" s="539"/>
      <c r="B136" s="216"/>
      <c r="C136" s="188" t="s">
        <v>19</v>
      </c>
      <c r="D136" s="188" t="s">
        <v>46</v>
      </c>
      <c r="E136" s="245"/>
      <c r="F136" s="248" t="s">
        <v>193</v>
      </c>
      <c r="G136" s="246"/>
      <c r="H136" s="249" t="s">
        <v>234</v>
      </c>
      <c r="I136" s="242" t="s">
        <v>6</v>
      </c>
      <c r="J136" s="243">
        <v>30</v>
      </c>
      <c r="K136" s="98"/>
      <c r="L136" s="195">
        <f>K136*J136</f>
        <v>0</v>
      </c>
      <c r="M136" s="98"/>
      <c r="N136" s="196" t="s">
        <v>327</v>
      </c>
    </row>
    <row r="137" spans="1:14" s="23" customFormat="1" x14ac:dyDescent="0.35">
      <c r="A137" s="539"/>
      <c r="B137" s="162"/>
      <c r="C137" s="163"/>
      <c r="D137" s="163"/>
      <c r="E137" s="163"/>
      <c r="F137" s="241"/>
      <c r="G137" s="241"/>
      <c r="H137" s="247"/>
      <c r="I137" s="242"/>
      <c r="J137" s="243"/>
      <c r="K137" s="244"/>
      <c r="L137" s="244"/>
      <c r="M137" s="244"/>
      <c r="N137" s="196"/>
    </row>
    <row r="138" spans="1:14" s="23" customFormat="1" ht="15.5" x14ac:dyDescent="0.35">
      <c r="A138" s="539"/>
      <c r="B138" s="429"/>
      <c r="C138" s="203"/>
      <c r="D138" s="203"/>
      <c r="E138" s="203"/>
      <c r="F138" s="204"/>
      <c r="G138" s="205"/>
      <c r="H138" s="206" t="s">
        <v>211</v>
      </c>
      <c r="I138" s="207"/>
      <c r="J138" s="208"/>
      <c r="K138" s="209"/>
      <c r="L138" s="210">
        <f>SUM(L136)</f>
        <v>0</v>
      </c>
      <c r="M138" s="210">
        <f>SUM(M136)</f>
        <v>0</v>
      </c>
      <c r="N138" s="211"/>
    </row>
    <row r="139" spans="1:14" ht="15" thickBot="1" x14ac:dyDescent="0.4">
      <c r="A139" s="539"/>
      <c r="B139" s="197"/>
      <c r="C139" s="199"/>
      <c r="D139" s="199"/>
      <c r="E139" s="199"/>
      <c r="F139" s="199"/>
      <c r="G139" s="199"/>
      <c r="H139" s="222"/>
      <c r="I139" s="222"/>
      <c r="J139" s="223"/>
      <c r="K139" s="222"/>
      <c r="L139" s="222"/>
      <c r="M139" s="222"/>
      <c r="N139" s="196"/>
    </row>
    <row r="140" spans="1:14" ht="19" thickBot="1" x14ac:dyDescent="0.4">
      <c r="A140" s="539"/>
      <c r="B140" s="526" t="s">
        <v>23</v>
      </c>
      <c r="C140" s="527"/>
      <c r="D140" s="527"/>
      <c r="E140" s="527"/>
      <c r="F140" s="527"/>
      <c r="G140" s="224"/>
      <c r="H140" s="224" t="s">
        <v>211</v>
      </c>
      <c r="I140" s="225"/>
      <c r="J140" s="226"/>
      <c r="K140" s="227"/>
      <c r="L140" s="228">
        <f>L130+L126+L134+L138</f>
        <v>0</v>
      </c>
      <c r="M140" s="229">
        <f>M130+M126+M134+M138</f>
        <v>0</v>
      </c>
      <c r="N140" s="196"/>
    </row>
    <row r="141" spans="1:14" ht="19" thickBot="1" x14ac:dyDescent="0.4">
      <c r="A141" s="540"/>
      <c r="B141" s="230"/>
      <c r="C141" s="231"/>
      <c r="D141" s="231"/>
      <c r="E141" s="232"/>
      <c r="F141" s="233"/>
      <c r="G141" s="233"/>
      <c r="H141" s="234"/>
      <c r="I141" s="235"/>
      <c r="J141" s="236"/>
      <c r="K141" s="237"/>
      <c r="L141" s="238"/>
      <c r="M141" s="239"/>
      <c r="N141" s="196"/>
    </row>
    <row r="142" spans="1:14" ht="18.5" x14ac:dyDescent="0.35">
      <c r="A142" s="538" t="s">
        <v>25</v>
      </c>
      <c r="B142" s="181"/>
      <c r="C142" s="292"/>
      <c r="D142" s="292"/>
      <c r="E142" s="182"/>
      <c r="F142" s="293"/>
      <c r="G142" s="293"/>
      <c r="H142" s="183"/>
      <c r="I142" s="294"/>
      <c r="J142" s="295"/>
      <c r="K142" s="296"/>
      <c r="L142" s="296"/>
      <c r="M142" s="296"/>
      <c r="N142" s="186"/>
    </row>
    <row r="143" spans="1:14" s="8" customFormat="1" ht="18.5" x14ac:dyDescent="0.35">
      <c r="A143" s="539"/>
      <c r="B143" s="216"/>
      <c r="C143" s="188" t="s">
        <v>26</v>
      </c>
      <c r="D143" s="188" t="s">
        <v>63</v>
      </c>
      <c r="E143" s="189"/>
      <c r="F143" s="190" t="s">
        <v>282</v>
      </c>
      <c r="G143" s="191"/>
      <c r="H143" s="192" t="s">
        <v>334</v>
      </c>
      <c r="I143" s="193" t="s">
        <v>5</v>
      </c>
      <c r="J143" s="194">
        <f>15*1</f>
        <v>15</v>
      </c>
      <c r="K143" s="98"/>
      <c r="L143" s="195">
        <f>K143*J143</f>
        <v>0</v>
      </c>
      <c r="M143" s="98"/>
      <c r="N143" s="196"/>
    </row>
    <row r="144" spans="1:14" s="8" customFormat="1" x14ac:dyDescent="0.35">
      <c r="A144" s="539"/>
      <c r="B144" s="197"/>
      <c r="C144" s="199"/>
      <c r="D144" s="199"/>
      <c r="E144" s="199"/>
      <c r="F144" s="200"/>
      <c r="G144" s="200"/>
      <c r="H144" s="192"/>
      <c r="I144" s="193"/>
      <c r="J144" s="194"/>
      <c r="K144" s="195"/>
      <c r="L144" s="195"/>
      <c r="M144" s="195"/>
      <c r="N144" s="196"/>
    </row>
    <row r="145" spans="1:14" s="8" customFormat="1" ht="15.5" x14ac:dyDescent="0.35">
      <c r="A145" s="539"/>
      <c r="B145" s="429"/>
      <c r="C145" s="203"/>
      <c r="D145" s="203"/>
      <c r="E145" s="203"/>
      <c r="F145" s="204"/>
      <c r="G145" s="205"/>
      <c r="H145" s="206" t="s">
        <v>211</v>
      </c>
      <c r="I145" s="207"/>
      <c r="J145" s="208"/>
      <c r="K145" s="209"/>
      <c r="L145" s="210">
        <f>SUM(L143:L143)</f>
        <v>0</v>
      </c>
      <c r="M145" s="210">
        <f>SUM(M143:M143)</f>
        <v>0</v>
      </c>
      <c r="N145" s="211"/>
    </row>
    <row r="146" spans="1:14" ht="15" thickBot="1" x14ac:dyDescent="0.4">
      <c r="A146" s="539"/>
      <c r="B146" s="197"/>
      <c r="C146" s="199"/>
      <c r="D146" s="199"/>
      <c r="E146" s="199"/>
      <c r="F146" s="199"/>
      <c r="G146" s="199"/>
      <c r="H146" s="222"/>
      <c r="I146" s="222"/>
      <c r="J146" s="223"/>
      <c r="K146" s="222"/>
      <c r="L146" s="222"/>
      <c r="M146" s="222"/>
      <c r="N146" s="196"/>
    </row>
    <row r="147" spans="1:14" ht="19" thickBot="1" x14ac:dyDescent="0.4">
      <c r="A147" s="539"/>
      <c r="B147" s="526" t="s">
        <v>24</v>
      </c>
      <c r="C147" s="527"/>
      <c r="D147" s="527"/>
      <c r="E147" s="527"/>
      <c r="F147" s="527"/>
      <c r="G147" s="224"/>
      <c r="H147" s="224" t="s">
        <v>211</v>
      </c>
      <c r="I147" s="225"/>
      <c r="J147" s="226"/>
      <c r="K147" s="227"/>
      <c r="L147" s="228">
        <f>L145</f>
        <v>0</v>
      </c>
      <c r="M147" s="229">
        <f>M145</f>
        <v>0</v>
      </c>
      <c r="N147" s="196"/>
    </row>
    <row r="148" spans="1:14" ht="19" thickBot="1" x14ac:dyDescent="0.4">
      <c r="A148" s="540"/>
      <c r="B148" s="230"/>
      <c r="C148" s="231"/>
      <c r="D148" s="231"/>
      <c r="E148" s="232"/>
      <c r="F148" s="233"/>
      <c r="G148" s="233"/>
      <c r="H148" s="234"/>
      <c r="I148" s="235"/>
      <c r="J148" s="236"/>
      <c r="K148" s="237"/>
      <c r="L148" s="238"/>
      <c r="M148" s="239"/>
      <c r="N148" s="240"/>
    </row>
    <row r="149" spans="1:14" s="9" customFormat="1" ht="19" hidden="1" thickBot="1" x14ac:dyDescent="0.4">
      <c r="A149" s="543" t="s">
        <v>30</v>
      </c>
      <c r="B149" s="436"/>
      <c r="C149" s="437"/>
      <c r="D149" s="437"/>
      <c r="E149" s="438"/>
      <c r="F149" s="439"/>
      <c r="G149" s="439"/>
      <c r="H149" s="425"/>
      <c r="I149" s="426"/>
      <c r="J149" s="427"/>
      <c r="K149" s="428"/>
      <c r="L149" s="428"/>
      <c r="M149" s="428"/>
      <c r="N149" s="259"/>
    </row>
    <row r="150" spans="1:14" s="9" customFormat="1" ht="31.5" hidden="1" thickBot="1" x14ac:dyDescent="0.4">
      <c r="A150" s="544"/>
      <c r="B150" s="216"/>
      <c r="C150" s="188" t="s">
        <v>31</v>
      </c>
      <c r="D150" s="188" t="s">
        <v>43</v>
      </c>
      <c r="E150" s="189"/>
      <c r="F150" s="304" t="s">
        <v>202</v>
      </c>
      <c r="G150" s="283"/>
      <c r="H150" s="284"/>
      <c r="I150" s="285" t="s">
        <v>6</v>
      </c>
      <c r="J150" s="286"/>
      <c r="K150" s="287">
        <v>0</v>
      </c>
      <c r="L150" s="287">
        <v>0</v>
      </c>
      <c r="M150" s="287">
        <v>0</v>
      </c>
      <c r="N150" s="263"/>
    </row>
    <row r="151" spans="1:14" s="9" customFormat="1" ht="19" hidden="1" thickBot="1" x14ac:dyDescent="0.4">
      <c r="A151" s="544"/>
      <c r="B151" s="217"/>
      <c r="C151" s="218"/>
      <c r="D151" s="218"/>
      <c r="E151" s="219"/>
      <c r="F151" s="220"/>
      <c r="G151" s="283"/>
      <c r="H151" s="284"/>
      <c r="I151" s="285" t="s">
        <v>6</v>
      </c>
      <c r="J151" s="286"/>
      <c r="K151" s="287">
        <v>0</v>
      </c>
      <c r="L151" s="287">
        <v>0</v>
      </c>
      <c r="M151" s="287">
        <v>0</v>
      </c>
      <c r="N151" s="263"/>
    </row>
    <row r="152" spans="1:14" s="9" customFormat="1" ht="19" hidden="1" thickBot="1" x14ac:dyDescent="0.4">
      <c r="A152" s="544"/>
      <c r="B152" s="217"/>
      <c r="C152" s="218"/>
      <c r="D152" s="218"/>
      <c r="E152" s="219"/>
      <c r="F152" s="220"/>
      <c r="G152" s="283"/>
      <c r="H152" s="284"/>
      <c r="I152" s="285" t="s">
        <v>6</v>
      </c>
      <c r="J152" s="286"/>
      <c r="K152" s="287">
        <v>0</v>
      </c>
      <c r="L152" s="287">
        <v>0</v>
      </c>
      <c r="M152" s="287">
        <v>0</v>
      </c>
      <c r="N152" s="263"/>
    </row>
    <row r="153" spans="1:14" s="9" customFormat="1" ht="19" hidden="1" thickBot="1" x14ac:dyDescent="0.4">
      <c r="A153" s="544"/>
      <c r="B153" s="217"/>
      <c r="C153" s="218"/>
      <c r="D153" s="218"/>
      <c r="E153" s="219"/>
      <c r="F153" s="220"/>
      <c r="G153" s="283"/>
      <c r="H153" s="284"/>
      <c r="I153" s="285"/>
      <c r="J153" s="286"/>
      <c r="K153" s="287"/>
      <c r="L153" s="287"/>
      <c r="M153" s="287"/>
      <c r="N153" s="263"/>
    </row>
    <row r="154" spans="1:14" s="9" customFormat="1" ht="15" hidden="1" thickBot="1" x14ac:dyDescent="0.4">
      <c r="A154" s="544"/>
      <c r="B154" s="217"/>
      <c r="C154" s="219"/>
      <c r="D154" s="219"/>
      <c r="E154" s="219"/>
      <c r="F154" s="288"/>
      <c r="G154" s="288"/>
      <c r="H154" s="284"/>
      <c r="I154" s="285" t="s">
        <v>61</v>
      </c>
      <c r="J154" s="286"/>
      <c r="K154" s="287">
        <v>0</v>
      </c>
      <c r="L154" s="287">
        <v>0</v>
      </c>
      <c r="M154" s="287">
        <v>0</v>
      </c>
      <c r="N154" s="263"/>
    </row>
    <row r="155" spans="1:14" s="9" customFormat="1" ht="15" hidden="1" thickBot="1" x14ac:dyDescent="0.4">
      <c r="A155" s="544"/>
      <c r="B155" s="217"/>
      <c r="C155" s="219"/>
      <c r="D155" s="219"/>
      <c r="E155" s="219"/>
      <c r="F155" s="288"/>
      <c r="G155" s="288"/>
      <c r="H155" s="284"/>
      <c r="I155" s="285" t="s">
        <v>61</v>
      </c>
      <c r="J155" s="286"/>
      <c r="K155" s="287">
        <v>0</v>
      </c>
      <c r="L155" s="287">
        <v>0</v>
      </c>
      <c r="M155" s="287">
        <v>0</v>
      </c>
      <c r="N155" s="263"/>
    </row>
    <row r="156" spans="1:14" s="9" customFormat="1" ht="15" hidden="1" thickBot="1" x14ac:dyDescent="0.4">
      <c r="A156" s="544"/>
      <c r="B156" s="217"/>
      <c r="C156" s="219"/>
      <c r="D156" s="219"/>
      <c r="E156" s="219"/>
      <c r="F156" s="288"/>
      <c r="G156" s="288"/>
      <c r="H156" s="284"/>
      <c r="I156" s="285"/>
      <c r="J156" s="286"/>
      <c r="K156" s="287"/>
      <c r="L156" s="287"/>
      <c r="M156" s="287"/>
      <c r="N156" s="263"/>
    </row>
    <row r="157" spans="1:14" s="9" customFormat="1" ht="16" hidden="1" thickBot="1" x14ac:dyDescent="0.4">
      <c r="A157" s="544"/>
      <c r="B157" s="290"/>
      <c r="C157" s="265"/>
      <c r="D157" s="265"/>
      <c r="E157" s="265"/>
      <c r="F157" s="266"/>
      <c r="G157" s="267"/>
      <c r="H157" s="206" t="s">
        <v>211</v>
      </c>
      <c r="I157" s="268"/>
      <c r="J157" s="269"/>
      <c r="K157" s="270"/>
      <c r="L157" s="210">
        <f>SUM(L150:L155)</f>
        <v>0</v>
      </c>
      <c r="M157" s="210">
        <f>SUM(M150:M155)</f>
        <v>0</v>
      </c>
      <c r="N157" s="271"/>
    </row>
    <row r="158" spans="1:14" s="14" customFormat="1" ht="15" hidden="1" thickBot="1" x14ac:dyDescent="0.4">
      <c r="A158" s="544"/>
      <c r="B158" s="217"/>
      <c r="C158" s="219"/>
      <c r="D158" s="219"/>
      <c r="E158" s="219"/>
      <c r="F158" s="219"/>
      <c r="G158" s="219"/>
      <c r="H158" s="289"/>
      <c r="I158" s="285"/>
      <c r="J158" s="286"/>
      <c r="K158" s="287"/>
      <c r="L158" s="289"/>
      <c r="M158" s="289"/>
      <c r="N158" s="440"/>
    </row>
    <row r="159" spans="1:14" s="14" customFormat="1" ht="31.5" hidden="1" thickBot="1" x14ac:dyDescent="0.4">
      <c r="A159" s="544"/>
      <c r="B159" s="216"/>
      <c r="C159" s="188" t="s">
        <v>31</v>
      </c>
      <c r="D159" s="188" t="s">
        <v>44</v>
      </c>
      <c r="E159" s="189"/>
      <c r="F159" s="304" t="s">
        <v>202</v>
      </c>
      <c r="G159" s="283"/>
      <c r="H159" s="284"/>
      <c r="I159" s="285" t="s">
        <v>6</v>
      </c>
      <c r="J159" s="286"/>
      <c r="K159" s="287">
        <v>0</v>
      </c>
      <c r="L159" s="287">
        <v>0</v>
      </c>
      <c r="M159" s="287">
        <v>0</v>
      </c>
      <c r="N159" s="440"/>
    </row>
    <row r="160" spans="1:14" s="14" customFormat="1" ht="15" hidden="1" thickBot="1" x14ac:dyDescent="0.4">
      <c r="A160" s="544"/>
      <c r="B160" s="217"/>
      <c r="C160" s="219"/>
      <c r="D160" s="219"/>
      <c r="E160" s="219"/>
      <c r="F160" s="288"/>
      <c r="G160" s="288"/>
      <c r="H160" s="284"/>
      <c r="I160" s="285"/>
      <c r="J160" s="286"/>
      <c r="K160" s="287"/>
      <c r="L160" s="287"/>
      <c r="M160" s="287"/>
      <c r="N160" s="263"/>
    </row>
    <row r="161" spans="1:14" s="14" customFormat="1" ht="16" hidden="1" thickBot="1" x14ac:dyDescent="0.4">
      <c r="A161" s="544"/>
      <c r="B161" s="290"/>
      <c r="C161" s="265"/>
      <c r="D161" s="265"/>
      <c r="E161" s="265"/>
      <c r="F161" s="266"/>
      <c r="G161" s="267"/>
      <c r="H161" s="206" t="s">
        <v>211</v>
      </c>
      <c r="I161" s="268"/>
      <c r="J161" s="269"/>
      <c r="K161" s="270"/>
      <c r="L161" s="210">
        <f>SUM(L159)</f>
        <v>0</v>
      </c>
      <c r="M161" s="210">
        <f>SUM(M159)</f>
        <v>0</v>
      </c>
      <c r="N161" s="271"/>
    </row>
    <row r="162" spans="1:14" s="9" customFormat="1" ht="15" hidden="1" thickBot="1" x14ac:dyDescent="0.4">
      <c r="A162" s="544"/>
      <c r="B162" s="217"/>
      <c r="C162" s="219"/>
      <c r="D162" s="219"/>
      <c r="E162" s="219"/>
      <c r="F162" s="219"/>
      <c r="G162" s="219"/>
      <c r="H162" s="289"/>
      <c r="I162" s="289"/>
      <c r="J162" s="441"/>
      <c r="K162" s="289"/>
      <c r="L162" s="289"/>
      <c r="M162" s="289"/>
      <c r="N162" s="263"/>
    </row>
    <row r="163" spans="1:14" s="9" customFormat="1" ht="19" hidden="1" thickBot="1" x14ac:dyDescent="0.4">
      <c r="A163" s="544"/>
      <c r="B163" s="526" t="s">
        <v>28</v>
      </c>
      <c r="C163" s="527"/>
      <c r="D163" s="527"/>
      <c r="E163" s="527"/>
      <c r="F163" s="527"/>
      <c r="G163" s="224"/>
      <c r="H163" s="224" t="s">
        <v>211</v>
      </c>
      <c r="I163" s="225"/>
      <c r="J163" s="226"/>
      <c r="K163" s="227"/>
      <c r="L163" s="228">
        <f>L157+L161</f>
        <v>0</v>
      </c>
      <c r="M163" s="229">
        <f>M157+M161</f>
        <v>0</v>
      </c>
      <c r="N163" s="263"/>
    </row>
    <row r="164" spans="1:14" s="9" customFormat="1" ht="19" hidden="1" thickBot="1" x14ac:dyDescent="0.4">
      <c r="A164" s="545"/>
      <c r="B164" s="273"/>
      <c r="C164" s="274"/>
      <c r="D164" s="274"/>
      <c r="E164" s="275"/>
      <c r="F164" s="276"/>
      <c r="G164" s="276"/>
      <c r="H164" s="277"/>
      <c r="I164" s="278"/>
      <c r="J164" s="279"/>
      <c r="K164" s="280"/>
      <c r="L164" s="281"/>
      <c r="M164" s="278"/>
      <c r="N164" s="291"/>
    </row>
    <row r="165" spans="1:14" ht="18.5" x14ac:dyDescent="0.35">
      <c r="A165" s="538" t="s">
        <v>32</v>
      </c>
      <c r="B165" s="197"/>
      <c r="C165" s="198"/>
      <c r="D165" s="198"/>
      <c r="E165" s="199"/>
      <c r="F165" s="200"/>
      <c r="G165" s="200"/>
      <c r="H165" s="222"/>
      <c r="I165" s="193"/>
      <c r="J165" s="194"/>
      <c r="K165" s="195"/>
      <c r="L165" s="195"/>
      <c r="M165" s="195"/>
      <c r="N165" s="186"/>
    </row>
    <row r="166" spans="1:14" ht="29" x14ac:dyDescent="0.35">
      <c r="A166" s="539"/>
      <c r="B166" s="216"/>
      <c r="C166" s="188" t="s">
        <v>33</v>
      </c>
      <c r="D166" s="188" t="s">
        <v>43</v>
      </c>
      <c r="E166" s="442"/>
      <c r="F166" s="190" t="s">
        <v>152</v>
      </c>
      <c r="G166" s="191"/>
      <c r="H166" s="443" t="s">
        <v>323</v>
      </c>
      <c r="I166" s="301" t="s">
        <v>6</v>
      </c>
      <c r="J166" s="444">
        <v>1</v>
      </c>
      <c r="K166" s="201">
        <v>0</v>
      </c>
      <c r="L166" s="201">
        <f>K166*J166</f>
        <v>0</v>
      </c>
      <c r="M166" s="201">
        <v>0</v>
      </c>
      <c r="N166" s="196" t="s">
        <v>343</v>
      </c>
    </row>
    <row r="167" spans="1:14" x14ac:dyDescent="0.35">
      <c r="A167" s="539"/>
      <c r="B167" s="197"/>
      <c r="C167" s="445"/>
      <c r="D167" s="445"/>
      <c r="E167" s="445"/>
      <c r="F167" s="191"/>
      <c r="G167" s="191"/>
      <c r="H167" s="300"/>
      <c r="I167" s="301"/>
      <c r="J167" s="444"/>
      <c r="K167" s="201"/>
      <c r="L167" s="201"/>
      <c r="M167" s="201"/>
      <c r="N167" s="196"/>
    </row>
    <row r="168" spans="1:14" ht="15.5" x14ac:dyDescent="0.35">
      <c r="A168" s="539"/>
      <c r="B168" s="429"/>
      <c r="C168" s="446"/>
      <c r="D168" s="446"/>
      <c r="E168" s="446"/>
      <c r="F168" s="204"/>
      <c r="G168" s="205"/>
      <c r="H168" s="206" t="s">
        <v>211</v>
      </c>
      <c r="I168" s="207"/>
      <c r="J168" s="208"/>
      <c r="K168" s="209"/>
      <c r="L168" s="210">
        <f>SUM(L166:L166)</f>
        <v>0</v>
      </c>
      <c r="M168" s="210">
        <f>SUM(M166:M166)</f>
        <v>0</v>
      </c>
      <c r="N168" s="211"/>
    </row>
    <row r="169" spans="1:14" s="23" customFormat="1" ht="15.5" x14ac:dyDescent="0.35">
      <c r="A169" s="539"/>
      <c r="B169" s="197"/>
      <c r="C169" s="445"/>
      <c r="D169" s="445"/>
      <c r="E169" s="445"/>
      <c r="F169" s="411"/>
      <c r="G169" s="412"/>
      <c r="H169" s="430"/>
      <c r="I169" s="413"/>
      <c r="J169" s="414"/>
      <c r="K169" s="415"/>
      <c r="L169" s="431"/>
      <c r="M169" s="431"/>
      <c r="N169" s="196"/>
    </row>
    <row r="170" spans="1:14" s="23" customFormat="1" ht="29" x14ac:dyDescent="0.35">
      <c r="A170" s="539"/>
      <c r="B170" s="216"/>
      <c r="C170" s="188" t="s">
        <v>33</v>
      </c>
      <c r="D170" s="188" t="s">
        <v>44</v>
      </c>
      <c r="E170" s="442"/>
      <c r="F170" s="190" t="s">
        <v>153</v>
      </c>
      <c r="G170" s="191"/>
      <c r="H170" s="443" t="s">
        <v>323</v>
      </c>
      <c r="I170" s="301" t="s">
        <v>6</v>
      </c>
      <c r="J170" s="444">
        <v>1</v>
      </c>
      <c r="K170" s="201">
        <v>0</v>
      </c>
      <c r="L170" s="201">
        <f>K170*J170</f>
        <v>0</v>
      </c>
      <c r="M170" s="201">
        <v>0</v>
      </c>
      <c r="N170" s="196" t="s">
        <v>343</v>
      </c>
    </row>
    <row r="171" spans="1:14" s="23" customFormat="1" x14ac:dyDescent="0.35">
      <c r="A171" s="539"/>
      <c r="B171" s="197"/>
      <c r="C171" s="445"/>
      <c r="D171" s="445"/>
      <c r="E171" s="445"/>
      <c r="F171" s="191"/>
      <c r="G171" s="191"/>
      <c r="H171" s="300"/>
      <c r="I171" s="301"/>
      <c r="J171" s="444"/>
      <c r="K171" s="201"/>
      <c r="L171" s="201"/>
      <c r="M171" s="201"/>
      <c r="N171" s="196"/>
    </row>
    <row r="172" spans="1:14" s="23" customFormat="1" ht="15.5" x14ac:dyDescent="0.35">
      <c r="A172" s="539"/>
      <c r="B172" s="429"/>
      <c r="C172" s="446"/>
      <c r="D172" s="446"/>
      <c r="E172" s="446"/>
      <c r="F172" s="204"/>
      <c r="G172" s="205"/>
      <c r="H172" s="206" t="s">
        <v>211</v>
      </c>
      <c r="I172" s="207"/>
      <c r="J172" s="208"/>
      <c r="K172" s="209"/>
      <c r="L172" s="210">
        <f>SUM(L170:L170)</f>
        <v>0</v>
      </c>
      <c r="M172" s="210">
        <f>SUM(M170:M170)</f>
        <v>0</v>
      </c>
      <c r="N172" s="211"/>
    </row>
    <row r="173" spans="1:14" s="23" customFormat="1" ht="15.5" x14ac:dyDescent="0.35">
      <c r="A173" s="539"/>
      <c r="B173" s="197"/>
      <c r="C173" s="445"/>
      <c r="D173" s="445"/>
      <c r="E173" s="445"/>
      <c r="F173" s="411"/>
      <c r="G173" s="412"/>
      <c r="H173" s="430"/>
      <c r="I173" s="413"/>
      <c r="J173" s="414"/>
      <c r="K173" s="415"/>
      <c r="L173" s="431"/>
      <c r="M173" s="431"/>
      <c r="N173" s="196"/>
    </row>
    <row r="174" spans="1:14" s="23" customFormat="1" ht="29" x14ac:dyDescent="0.35">
      <c r="A174" s="539"/>
      <c r="B174" s="216"/>
      <c r="C174" s="188" t="s">
        <v>33</v>
      </c>
      <c r="D174" s="188" t="s">
        <v>45</v>
      </c>
      <c r="E174" s="442"/>
      <c r="F174" s="190" t="s">
        <v>154</v>
      </c>
      <c r="G174" s="191"/>
      <c r="H174" s="443" t="s">
        <v>323</v>
      </c>
      <c r="I174" s="301" t="s">
        <v>6</v>
      </c>
      <c r="J174" s="444">
        <v>1</v>
      </c>
      <c r="K174" s="201">
        <v>0</v>
      </c>
      <c r="L174" s="201">
        <f>K174*J174</f>
        <v>0</v>
      </c>
      <c r="M174" s="201">
        <v>0</v>
      </c>
      <c r="N174" s="196" t="s">
        <v>343</v>
      </c>
    </row>
    <row r="175" spans="1:14" s="23" customFormat="1" x14ac:dyDescent="0.35">
      <c r="A175" s="539"/>
      <c r="B175" s="197"/>
      <c r="C175" s="445"/>
      <c r="D175" s="445"/>
      <c r="E175" s="445"/>
      <c r="F175" s="191"/>
      <c r="G175" s="191"/>
      <c r="H175" s="300"/>
      <c r="I175" s="301"/>
      <c r="J175" s="444"/>
      <c r="K175" s="201"/>
      <c r="L175" s="201"/>
      <c r="M175" s="201"/>
      <c r="N175" s="196"/>
    </row>
    <row r="176" spans="1:14" s="23" customFormat="1" ht="15.5" x14ac:dyDescent="0.35">
      <c r="A176" s="539"/>
      <c r="B176" s="429"/>
      <c r="C176" s="446"/>
      <c r="D176" s="446"/>
      <c r="E176" s="446"/>
      <c r="F176" s="204"/>
      <c r="G176" s="205"/>
      <c r="H176" s="206" t="s">
        <v>211</v>
      </c>
      <c r="I176" s="207"/>
      <c r="J176" s="208"/>
      <c r="K176" s="209"/>
      <c r="L176" s="210">
        <f>SUM(L174:L174)</f>
        <v>0</v>
      </c>
      <c r="M176" s="210">
        <f>SUM(M174:M174)</f>
        <v>0</v>
      </c>
      <c r="N176" s="211"/>
    </row>
    <row r="177" spans="1:14" s="23" customFormat="1" ht="15.5" x14ac:dyDescent="0.35">
      <c r="A177" s="539"/>
      <c r="B177" s="197"/>
      <c r="C177" s="445"/>
      <c r="D177" s="445"/>
      <c r="E177" s="445"/>
      <c r="F177" s="411"/>
      <c r="G177" s="412"/>
      <c r="H177" s="430"/>
      <c r="I177" s="413"/>
      <c r="J177" s="414"/>
      <c r="K177" s="415"/>
      <c r="L177" s="431"/>
      <c r="M177" s="431"/>
      <c r="N177" s="196"/>
    </row>
    <row r="178" spans="1:14" s="23" customFormat="1" ht="29" x14ac:dyDescent="0.35">
      <c r="A178" s="539"/>
      <c r="B178" s="216"/>
      <c r="C178" s="188" t="s">
        <v>33</v>
      </c>
      <c r="D178" s="188" t="s">
        <v>46</v>
      </c>
      <c r="E178" s="442"/>
      <c r="F178" s="190" t="s">
        <v>155</v>
      </c>
      <c r="G178" s="191"/>
      <c r="H178" s="443" t="s">
        <v>323</v>
      </c>
      <c r="I178" s="301" t="s">
        <v>6</v>
      </c>
      <c r="J178" s="444">
        <v>1</v>
      </c>
      <c r="K178" s="201">
        <v>0</v>
      </c>
      <c r="L178" s="201">
        <f>K178*J178</f>
        <v>0</v>
      </c>
      <c r="M178" s="201">
        <v>0</v>
      </c>
      <c r="N178" s="196" t="s">
        <v>343</v>
      </c>
    </row>
    <row r="179" spans="1:14" s="23" customFormat="1" x14ac:dyDescent="0.35">
      <c r="A179" s="539"/>
      <c r="B179" s="197"/>
      <c r="C179" s="445"/>
      <c r="D179" s="445"/>
      <c r="E179" s="445"/>
      <c r="F179" s="191"/>
      <c r="G179" s="191"/>
      <c r="H179" s="300"/>
      <c r="I179" s="301"/>
      <c r="J179" s="444"/>
      <c r="K179" s="201"/>
      <c r="L179" s="201"/>
      <c r="M179" s="201"/>
      <c r="N179" s="196"/>
    </row>
    <row r="180" spans="1:14" s="23" customFormat="1" ht="15.5" x14ac:dyDescent="0.35">
      <c r="A180" s="539"/>
      <c r="B180" s="429"/>
      <c r="C180" s="446"/>
      <c r="D180" s="446"/>
      <c r="E180" s="446"/>
      <c r="F180" s="204"/>
      <c r="G180" s="205"/>
      <c r="H180" s="206" t="s">
        <v>211</v>
      </c>
      <c r="I180" s="207"/>
      <c r="J180" s="208"/>
      <c r="K180" s="209"/>
      <c r="L180" s="210">
        <f>SUM(L178:L178)</f>
        <v>0</v>
      </c>
      <c r="M180" s="210">
        <f>SUM(M178:M178)</f>
        <v>0</v>
      </c>
      <c r="N180" s="211"/>
    </row>
    <row r="181" spans="1:14" s="23" customFormat="1" ht="15.5" x14ac:dyDescent="0.35">
      <c r="A181" s="539"/>
      <c r="B181" s="197"/>
      <c r="C181" s="445"/>
      <c r="D181" s="445"/>
      <c r="E181" s="445"/>
      <c r="F181" s="411"/>
      <c r="G181" s="412"/>
      <c r="H181" s="430"/>
      <c r="I181" s="413"/>
      <c r="J181" s="414"/>
      <c r="K181" s="415"/>
      <c r="L181" s="431"/>
      <c r="M181" s="431"/>
      <c r="N181" s="196"/>
    </row>
    <row r="182" spans="1:14" s="23" customFormat="1" ht="29" x14ac:dyDescent="0.35">
      <c r="A182" s="539"/>
      <c r="B182" s="216"/>
      <c r="C182" s="188" t="s">
        <v>33</v>
      </c>
      <c r="D182" s="188" t="s">
        <v>146</v>
      </c>
      <c r="E182" s="442"/>
      <c r="F182" s="190" t="s">
        <v>283</v>
      </c>
      <c r="G182" s="191"/>
      <c r="H182" s="443" t="s">
        <v>323</v>
      </c>
      <c r="I182" s="301" t="s">
        <v>6</v>
      </c>
      <c r="J182" s="444">
        <v>1</v>
      </c>
      <c r="K182" s="201">
        <v>0</v>
      </c>
      <c r="L182" s="201">
        <f>K182*J182</f>
        <v>0</v>
      </c>
      <c r="M182" s="201">
        <v>0</v>
      </c>
      <c r="N182" s="196" t="s">
        <v>343</v>
      </c>
    </row>
    <row r="183" spans="1:14" s="23" customFormat="1" x14ac:dyDescent="0.35">
      <c r="A183" s="539"/>
      <c r="B183" s="197"/>
      <c r="C183" s="445"/>
      <c r="D183" s="445"/>
      <c r="E183" s="445"/>
      <c r="F183" s="191"/>
      <c r="G183" s="191"/>
      <c r="H183" s="300"/>
      <c r="I183" s="301"/>
      <c r="J183" s="444"/>
      <c r="K183" s="201"/>
      <c r="L183" s="201"/>
      <c r="M183" s="201"/>
      <c r="N183" s="196"/>
    </row>
    <row r="184" spans="1:14" s="23" customFormat="1" ht="15.5" x14ac:dyDescent="0.35">
      <c r="A184" s="539"/>
      <c r="B184" s="429"/>
      <c r="C184" s="446"/>
      <c r="D184" s="446"/>
      <c r="E184" s="446"/>
      <c r="F184" s="204"/>
      <c r="G184" s="205"/>
      <c r="H184" s="206" t="s">
        <v>211</v>
      </c>
      <c r="I184" s="207"/>
      <c r="J184" s="208"/>
      <c r="K184" s="209"/>
      <c r="L184" s="210">
        <f>SUM(L182:L182)</f>
        <v>0</v>
      </c>
      <c r="M184" s="210">
        <f>SUM(M182:M182)</f>
        <v>0</v>
      </c>
      <c r="N184" s="211"/>
    </row>
    <row r="185" spans="1:14" s="23" customFormat="1" ht="15.5" x14ac:dyDescent="0.35">
      <c r="A185" s="539"/>
      <c r="B185" s="197"/>
      <c r="C185" s="445"/>
      <c r="D185" s="445"/>
      <c r="E185" s="445"/>
      <c r="F185" s="411"/>
      <c r="G185" s="412"/>
      <c r="H185" s="430"/>
      <c r="I185" s="413"/>
      <c r="J185" s="414"/>
      <c r="K185" s="415"/>
      <c r="L185" s="431"/>
      <c r="M185" s="431"/>
      <c r="N185" s="196"/>
    </row>
    <row r="186" spans="1:14" s="23" customFormat="1" ht="29" x14ac:dyDescent="0.35">
      <c r="A186" s="539"/>
      <c r="B186" s="216"/>
      <c r="C186" s="188" t="s">
        <v>33</v>
      </c>
      <c r="D186" s="188" t="s">
        <v>147</v>
      </c>
      <c r="E186" s="442"/>
      <c r="F186" s="190" t="s">
        <v>156</v>
      </c>
      <c r="G186" s="191"/>
      <c r="H186" s="443" t="s">
        <v>323</v>
      </c>
      <c r="I186" s="301" t="s">
        <v>6</v>
      </c>
      <c r="J186" s="444">
        <v>1</v>
      </c>
      <c r="K186" s="201">
        <v>0</v>
      </c>
      <c r="L186" s="201">
        <f>K186*J186</f>
        <v>0</v>
      </c>
      <c r="M186" s="201">
        <v>0</v>
      </c>
      <c r="N186" s="196" t="s">
        <v>343</v>
      </c>
    </row>
    <row r="187" spans="1:14" s="23" customFormat="1" x14ac:dyDescent="0.35">
      <c r="A187" s="539"/>
      <c r="B187" s="197"/>
      <c r="C187" s="445"/>
      <c r="D187" s="445"/>
      <c r="E187" s="445"/>
      <c r="F187" s="191"/>
      <c r="G187" s="191"/>
      <c r="H187" s="300"/>
      <c r="I187" s="301"/>
      <c r="J187" s="444"/>
      <c r="K187" s="201"/>
      <c r="L187" s="201"/>
      <c r="M187" s="201"/>
      <c r="N187" s="196"/>
    </row>
    <row r="188" spans="1:14" s="23" customFormat="1" ht="15.5" x14ac:dyDescent="0.35">
      <c r="A188" s="539"/>
      <c r="B188" s="429"/>
      <c r="C188" s="446"/>
      <c r="D188" s="446"/>
      <c r="E188" s="446"/>
      <c r="F188" s="204"/>
      <c r="G188" s="205"/>
      <c r="H188" s="206" t="s">
        <v>211</v>
      </c>
      <c r="I188" s="207"/>
      <c r="J188" s="208"/>
      <c r="K188" s="209"/>
      <c r="L188" s="210">
        <f>SUM(L186:L186)</f>
        <v>0</v>
      </c>
      <c r="M188" s="210">
        <f>SUM(M186:M186)</f>
        <v>0</v>
      </c>
      <c r="N188" s="211"/>
    </row>
    <row r="189" spans="1:14" s="23" customFormat="1" ht="15.5" x14ac:dyDescent="0.35">
      <c r="A189" s="539"/>
      <c r="B189" s="197"/>
      <c r="C189" s="445"/>
      <c r="D189" s="445"/>
      <c r="E189" s="445"/>
      <c r="F189" s="411"/>
      <c r="G189" s="412"/>
      <c r="H189" s="430"/>
      <c r="I189" s="413"/>
      <c r="J189" s="414"/>
      <c r="K189" s="415"/>
      <c r="L189" s="431"/>
      <c r="M189" s="431"/>
      <c r="N189" s="196"/>
    </row>
    <row r="190" spans="1:14" s="23" customFormat="1" ht="29" x14ac:dyDescent="0.35">
      <c r="A190" s="539"/>
      <c r="B190" s="216"/>
      <c r="C190" s="188" t="s">
        <v>33</v>
      </c>
      <c r="D190" s="188" t="s">
        <v>148</v>
      </c>
      <c r="E190" s="442"/>
      <c r="F190" s="190" t="s">
        <v>157</v>
      </c>
      <c r="G190" s="191"/>
      <c r="H190" s="443" t="s">
        <v>323</v>
      </c>
      <c r="I190" s="301" t="s">
        <v>6</v>
      </c>
      <c r="J190" s="444">
        <v>1</v>
      </c>
      <c r="K190" s="201">
        <v>0</v>
      </c>
      <c r="L190" s="201">
        <f>K190*J190</f>
        <v>0</v>
      </c>
      <c r="M190" s="201">
        <v>0</v>
      </c>
      <c r="N190" s="196" t="s">
        <v>343</v>
      </c>
    </row>
    <row r="191" spans="1:14" s="23" customFormat="1" x14ac:dyDescent="0.35">
      <c r="A191" s="539"/>
      <c r="B191" s="197"/>
      <c r="C191" s="445"/>
      <c r="D191" s="445"/>
      <c r="E191" s="445"/>
      <c r="F191" s="191"/>
      <c r="G191" s="191"/>
      <c r="H191" s="300"/>
      <c r="I191" s="301"/>
      <c r="J191" s="444"/>
      <c r="K191" s="201"/>
      <c r="L191" s="201"/>
      <c r="M191" s="201"/>
      <c r="N191" s="196"/>
    </row>
    <row r="192" spans="1:14" s="23" customFormat="1" ht="15.5" x14ac:dyDescent="0.35">
      <c r="A192" s="539"/>
      <c r="B192" s="429"/>
      <c r="C192" s="446"/>
      <c r="D192" s="446"/>
      <c r="E192" s="446"/>
      <c r="F192" s="204"/>
      <c r="G192" s="205"/>
      <c r="H192" s="206" t="s">
        <v>211</v>
      </c>
      <c r="I192" s="207"/>
      <c r="J192" s="208"/>
      <c r="K192" s="209"/>
      <c r="L192" s="210">
        <f>SUM(L190:L190)</f>
        <v>0</v>
      </c>
      <c r="M192" s="210">
        <f>SUM(M190:M190)</f>
        <v>0</v>
      </c>
      <c r="N192" s="211"/>
    </row>
    <row r="193" spans="1:14" s="23" customFormat="1" ht="15.5" x14ac:dyDescent="0.35">
      <c r="A193" s="539"/>
      <c r="B193" s="197"/>
      <c r="C193" s="445"/>
      <c r="D193" s="445"/>
      <c r="E193" s="445"/>
      <c r="F193" s="411"/>
      <c r="G193" s="412"/>
      <c r="H193" s="430"/>
      <c r="I193" s="413"/>
      <c r="J193" s="414"/>
      <c r="K193" s="415"/>
      <c r="L193" s="431"/>
      <c r="M193" s="431"/>
      <c r="N193" s="196"/>
    </row>
    <row r="194" spans="1:14" s="23" customFormat="1" ht="29" x14ac:dyDescent="0.35">
      <c r="A194" s="539"/>
      <c r="B194" s="216"/>
      <c r="C194" s="188" t="s">
        <v>33</v>
      </c>
      <c r="D194" s="188" t="s">
        <v>149</v>
      </c>
      <c r="E194" s="442"/>
      <c r="F194" s="190" t="s">
        <v>158</v>
      </c>
      <c r="G194" s="191"/>
      <c r="H194" s="443" t="s">
        <v>324</v>
      </c>
      <c r="I194" s="301" t="s">
        <v>6</v>
      </c>
      <c r="J194" s="444">
        <v>3</v>
      </c>
      <c r="K194" s="201">
        <v>0</v>
      </c>
      <c r="L194" s="201">
        <f>K194*J194</f>
        <v>0</v>
      </c>
      <c r="M194" s="201">
        <v>0</v>
      </c>
      <c r="N194" s="196" t="s">
        <v>344</v>
      </c>
    </row>
    <row r="195" spans="1:14" s="23" customFormat="1" x14ac:dyDescent="0.35">
      <c r="A195" s="539"/>
      <c r="B195" s="197"/>
      <c r="C195" s="445"/>
      <c r="D195" s="445"/>
      <c r="E195" s="445"/>
      <c r="F195" s="191"/>
      <c r="G195" s="191"/>
      <c r="H195" s="300"/>
      <c r="I195" s="301"/>
      <c r="J195" s="444"/>
      <c r="K195" s="201"/>
      <c r="L195" s="201"/>
      <c r="M195" s="201"/>
      <c r="N195" s="196"/>
    </row>
    <row r="196" spans="1:14" s="23" customFormat="1" ht="15.5" x14ac:dyDescent="0.35">
      <c r="A196" s="539"/>
      <c r="B196" s="429"/>
      <c r="C196" s="446"/>
      <c r="D196" s="446"/>
      <c r="E196" s="446"/>
      <c r="F196" s="204"/>
      <c r="G196" s="205"/>
      <c r="H196" s="206" t="s">
        <v>211</v>
      </c>
      <c r="I196" s="207"/>
      <c r="J196" s="208"/>
      <c r="K196" s="209"/>
      <c r="L196" s="210">
        <f>SUM(L194:L194)</f>
        <v>0</v>
      </c>
      <c r="M196" s="210">
        <f>SUM(M194:M194)</f>
        <v>0</v>
      </c>
      <c r="N196" s="211"/>
    </row>
    <row r="197" spans="1:14" s="23" customFormat="1" ht="15.5" x14ac:dyDescent="0.35">
      <c r="A197" s="539"/>
      <c r="B197" s="197"/>
      <c r="C197" s="445"/>
      <c r="D197" s="445"/>
      <c r="E197" s="445"/>
      <c r="F197" s="411"/>
      <c r="G197" s="412"/>
      <c r="H197" s="430"/>
      <c r="I197" s="413"/>
      <c r="J197" s="414"/>
      <c r="K197" s="415"/>
      <c r="L197" s="431"/>
      <c r="M197" s="431"/>
      <c r="N197" s="196"/>
    </row>
    <row r="198" spans="1:14" s="23" customFormat="1" ht="29" x14ac:dyDescent="0.35">
      <c r="A198" s="539"/>
      <c r="B198" s="216"/>
      <c r="C198" s="188" t="s">
        <v>33</v>
      </c>
      <c r="D198" s="188" t="s">
        <v>150</v>
      </c>
      <c r="E198" s="442"/>
      <c r="F198" s="190" t="s">
        <v>159</v>
      </c>
      <c r="G198" s="191"/>
      <c r="H198" s="443" t="s">
        <v>323</v>
      </c>
      <c r="I198" s="301" t="s">
        <v>6</v>
      </c>
      <c r="J198" s="444">
        <v>1</v>
      </c>
      <c r="K198" s="201">
        <v>0</v>
      </c>
      <c r="L198" s="201">
        <f>K198*J198</f>
        <v>0</v>
      </c>
      <c r="M198" s="201">
        <v>0</v>
      </c>
      <c r="N198" s="196" t="s">
        <v>343</v>
      </c>
    </row>
    <row r="199" spans="1:14" s="23" customFormat="1" x14ac:dyDescent="0.35">
      <c r="A199" s="539"/>
      <c r="B199" s="197"/>
      <c r="C199" s="445"/>
      <c r="D199" s="445"/>
      <c r="E199" s="445"/>
      <c r="F199" s="191"/>
      <c r="G199" s="191"/>
      <c r="H199" s="300"/>
      <c r="I199" s="301"/>
      <c r="J199" s="444"/>
      <c r="K199" s="201"/>
      <c r="L199" s="201"/>
      <c r="M199" s="201"/>
      <c r="N199" s="196"/>
    </row>
    <row r="200" spans="1:14" s="23" customFormat="1" ht="15.5" x14ac:dyDescent="0.35">
      <c r="A200" s="539"/>
      <c r="B200" s="429"/>
      <c r="C200" s="446"/>
      <c r="D200" s="446"/>
      <c r="E200" s="446"/>
      <c r="F200" s="204"/>
      <c r="G200" s="205"/>
      <c r="H200" s="206" t="s">
        <v>211</v>
      </c>
      <c r="I200" s="207"/>
      <c r="J200" s="208"/>
      <c r="K200" s="209"/>
      <c r="L200" s="210">
        <f>SUM(L198:L198)</f>
        <v>0</v>
      </c>
      <c r="M200" s="210">
        <f>SUM(M198:M198)</f>
        <v>0</v>
      </c>
      <c r="N200" s="211"/>
    </row>
    <row r="201" spans="1:14" s="23" customFormat="1" ht="15.5" x14ac:dyDescent="0.35">
      <c r="A201" s="539"/>
      <c r="B201" s="197"/>
      <c r="C201" s="445"/>
      <c r="D201" s="445"/>
      <c r="E201" s="445"/>
      <c r="F201" s="411"/>
      <c r="G201" s="412"/>
      <c r="H201" s="430"/>
      <c r="I201" s="413"/>
      <c r="J201" s="414"/>
      <c r="K201" s="415"/>
      <c r="L201" s="431"/>
      <c r="M201" s="431"/>
      <c r="N201" s="196"/>
    </row>
    <row r="202" spans="1:14" s="23" customFormat="1" ht="29" x14ac:dyDescent="0.35">
      <c r="A202" s="539"/>
      <c r="B202" s="216"/>
      <c r="C202" s="188" t="s">
        <v>33</v>
      </c>
      <c r="D202" s="188" t="s">
        <v>151</v>
      </c>
      <c r="E202" s="442"/>
      <c r="F202" s="190" t="s">
        <v>160</v>
      </c>
      <c r="G202" s="191"/>
      <c r="H202" s="443" t="s">
        <v>323</v>
      </c>
      <c r="I202" s="301" t="s">
        <v>6</v>
      </c>
      <c r="J202" s="444">
        <v>1</v>
      </c>
      <c r="K202" s="201">
        <v>0</v>
      </c>
      <c r="L202" s="201">
        <f>K202*J202</f>
        <v>0</v>
      </c>
      <c r="M202" s="201">
        <v>0</v>
      </c>
      <c r="N202" s="196" t="s">
        <v>343</v>
      </c>
    </row>
    <row r="203" spans="1:14" s="23" customFormat="1" x14ac:dyDescent="0.35">
      <c r="A203" s="539"/>
      <c r="B203" s="197"/>
      <c r="C203" s="445"/>
      <c r="D203" s="445"/>
      <c r="E203" s="445"/>
      <c r="F203" s="191"/>
      <c r="G203" s="191"/>
      <c r="H203" s="300"/>
      <c r="I203" s="301"/>
      <c r="J203" s="444"/>
      <c r="K203" s="201"/>
      <c r="L203" s="201"/>
      <c r="M203" s="201"/>
      <c r="N203" s="196"/>
    </row>
    <row r="204" spans="1:14" s="23" customFormat="1" ht="15.5" x14ac:dyDescent="0.35">
      <c r="A204" s="539"/>
      <c r="B204" s="429"/>
      <c r="C204" s="446"/>
      <c r="D204" s="446"/>
      <c r="E204" s="446"/>
      <c r="F204" s="204"/>
      <c r="G204" s="205"/>
      <c r="H204" s="206" t="s">
        <v>211</v>
      </c>
      <c r="I204" s="207"/>
      <c r="J204" s="208"/>
      <c r="K204" s="209"/>
      <c r="L204" s="210">
        <f>SUM(L202:L202)</f>
        <v>0</v>
      </c>
      <c r="M204" s="210">
        <f>SUM(M202:M202)</f>
        <v>0</v>
      </c>
      <c r="N204" s="211"/>
    </row>
    <row r="205" spans="1:14" s="23" customFormat="1" ht="15.5" x14ac:dyDescent="0.35">
      <c r="A205" s="539"/>
      <c r="B205" s="197"/>
      <c r="C205" s="445"/>
      <c r="D205" s="445"/>
      <c r="E205" s="445"/>
      <c r="F205" s="411"/>
      <c r="G205" s="412"/>
      <c r="H205" s="430"/>
      <c r="I205" s="413"/>
      <c r="J205" s="414"/>
      <c r="K205" s="415"/>
      <c r="L205" s="431"/>
      <c r="M205" s="431"/>
      <c r="N205" s="196"/>
    </row>
    <row r="206" spans="1:14" s="23" customFormat="1" ht="29" x14ac:dyDescent="0.35">
      <c r="A206" s="539"/>
      <c r="B206" s="216"/>
      <c r="C206" s="188" t="s">
        <v>33</v>
      </c>
      <c r="D206" s="188" t="s">
        <v>183</v>
      </c>
      <c r="E206" s="442"/>
      <c r="F206" s="190" t="s">
        <v>320</v>
      </c>
      <c r="G206" s="191"/>
      <c r="H206" s="443" t="s">
        <v>324</v>
      </c>
      <c r="I206" s="301" t="s">
        <v>6</v>
      </c>
      <c r="J206" s="444">
        <v>3</v>
      </c>
      <c r="K206" s="201">
        <v>0</v>
      </c>
      <c r="L206" s="201">
        <f>K206*J206</f>
        <v>0</v>
      </c>
      <c r="M206" s="201">
        <v>0</v>
      </c>
      <c r="N206" s="196" t="s">
        <v>340</v>
      </c>
    </row>
    <row r="207" spans="1:14" s="23" customFormat="1" x14ac:dyDescent="0.35">
      <c r="A207" s="539"/>
      <c r="B207" s="197"/>
      <c r="C207" s="445"/>
      <c r="D207" s="445"/>
      <c r="E207" s="445"/>
      <c r="F207" s="191"/>
      <c r="G207" s="191"/>
      <c r="H207" s="300"/>
      <c r="I207" s="301"/>
      <c r="J207" s="444"/>
      <c r="K207" s="201"/>
      <c r="L207" s="201"/>
      <c r="M207" s="201"/>
      <c r="N207" s="196"/>
    </row>
    <row r="208" spans="1:14" s="23" customFormat="1" ht="15.5" x14ac:dyDescent="0.35">
      <c r="A208" s="539"/>
      <c r="B208" s="429"/>
      <c r="C208" s="446"/>
      <c r="D208" s="446"/>
      <c r="E208" s="446"/>
      <c r="F208" s="204"/>
      <c r="G208" s="205"/>
      <c r="H208" s="206" t="s">
        <v>211</v>
      </c>
      <c r="I208" s="207"/>
      <c r="J208" s="208"/>
      <c r="K208" s="209"/>
      <c r="L208" s="210">
        <f>SUM(L206:L206)</f>
        <v>0</v>
      </c>
      <c r="M208" s="210">
        <f>SUM(M206:M206)</f>
        <v>0</v>
      </c>
      <c r="N208" s="211"/>
    </row>
    <row r="209" spans="1:14" s="23" customFormat="1" ht="15.5" x14ac:dyDescent="0.35">
      <c r="A209" s="539"/>
      <c r="B209" s="197"/>
      <c r="C209" s="445"/>
      <c r="D209" s="445"/>
      <c r="E209" s="445"/>
      <c r="F209" s="411"/>
      <c r="G209" s="412"/>
      <c r="H209" s="430"/>
      <c r="I209" s="413"/>
      <c r="J209" s="414"/>
      <c r="K209" s="415"/>
      <c r="L209" s="431"/>
      <c r="M209" s="431"/>
      <c r="N209" s="196"/>
    </row>
    <row r="210" spans="1:14" s="23" customFormat="1" ht="29" x14ac:dyDescent="0.35">
      <c r="A210" s="539"/>
      <c r="B210" s="216"/>
      <c r="C210" s="188" t="s">
        <v>33</v>
      </c>
      <c r="D210" s="188" t="s">
        <v>184</v>
      </c>
      <c r="E210" s="442"/>
      <c r="F210" s="190" t="s">
        <v>321</v>
      </c>
      <c r="G210" s="191"/>
      <c r="H210" s="443" t="s">
        <v>323</v>
      </c>
      <c r="I210" s="301" t="s">
        <v>6</v>
      </c>
      <c r="J210" s="444">
        <v>1</v>
      </c>
      <c r="K210" s="201">
        <v>0</v>
      </c>
      <c r="L210" s="201">
        <f>K210*J210</f>
        <v>0</v>
      </c>
      <c r="M210" s="201">
        <v>0</v>
      </c>
      <c r="N210" s="196" t="s">
        <v>343</v>
      </c>
    </row>
    <row r="211" spans="1:14" s="23" customFormat="1" x14ac:dyDescent="0.35">
      <c r="A211" s="539"/>
      <c r="B211" s="197"/>
      <c r="C211" s="445"/>
      <c r="D211" s="445"/>
      <c r="E211" s="445"/>
      <c r="F211" s="191"/>
      <c r="G211" s="191"/>
      <c r="H211" s="300"/>
      <c r="I211" s="301"/>
      <c r="J211" s="444"/>
      <c r="K211" s="201"/>
      <c r="L211" s="201"/>
      <c r="M211" s="201"/>
      <c r="N211" s="196"/>
    </row>
    <row r="212" spans="1:14" s="23" customFormat="1" ht="15.5" x14ac:dyDescent="0.35">
      <c r="A212" s="539"/>
      <c r="B212" s="429"/>
      <c r="C212" s="446"/>
      <c r="D212" s="446"/>
      <c r="E212" s="446"/>
      <c r="F212" s="204"/>
      <c r="G212" s="205"/>
      <c r="H212" s="206" t="s">
        <v>211</v>
      </c>
      <c r="I212" s="207"/>
      <c r="J212" s="208"/>
      <c r="K212" s="209"/>
      <c r="L212" s="210">
        <f>SUM(L210:L210)</f>
        <v>0</v>
      </c>
      <c r="M212" s="210">
        <f>SUM(M210:M210)</f>
        <v>0</v>
      </c>
      <c r="N212" s="211"/>
    </row>
    <row r="213" spans="1:14" s="23" customFormat="1" ht="15.5" x14ac:dyDescent="0.35">
      <c r="A213" s="539"/>
      <c r="B213" s="197"/>
      <c r="C213" s="445"/>
      <c r="D213" s="445"/>
      <c r="E213" s="445"/>
      <c r="F213" s="411"/>
      <c r="G213" s="412"/>
      <c r="H213" s="430"/>
      <c r="I213" s="413"/>
      <c r="J213" s="414"/>
      <c r="K213" s="415"/>
      <c r="L213" s="431"/>
      <c r="M213" s="431"/>
      <c r="N213" s="196"/>
    </row>
    <row r="214" spans="1:14" s="23" customFormat="1" ht="29" x14ac:dyDescent="0.35">
      <c r="A214" s="539"/>
      <c r="B214" s="216"/>
      <c r="C214" s="188" t="s">
        <v>33</v>
      </c>
      <c r="D214" s="188" t="s">
        <v>185</v>
      </c>
      <c r="E214" s="442"/>
      <c r="F214" s="190" t="s">
        <v>322</v>
      </c>
      <c r="G214" s="191"/>
      <c r="H214" s="443" t="s">
        <v>323</v>
      </c>
      <c r="I214" s="301" t="s">
        <v>6</v>
      </c>
      <c r="J214" s="444">
        <v>1</v>
      </c>
      <c r="K214" s="201">
        <v>0</v>
      </c>
      <c r="L214" s="201">
        <f>K214*J214</f>
        <v>0</v>
      </c>
      <c r="M214" s="201">
        <v>0</v>
      </c>
      <c r="N214" s="196" t="s">
        <v>343</v>
      </c>
    </row>
    <row r="215" spans="1:14" s="23" customFormat="1" x14ac:dyDescent="0.35">
      <c r="A215" s="539"/>
      <c r="B215" s="197"/>
      <c r="C215" s="199"/>
      <c r="D215" s="199"/>
      <c r="E215" s="199"/>
      <c r="F215" s="200"/>
      <c r="G215" s="200"/>
      <c r="H215" s="192"/>
      <c r="I215" s="193"/>
      <c r="J215" s="194"/>
      <c r="K215" s="195"/>
      <c r="L215" s="195"/>
      <c r="M215" s="195"/>
      <c r="N215" s="196"/>
    </row>
    <row r="216" spans="1:14" s="23" customFormat="1" ht="15.5" x14ac:dyDescent="0.35">
      <c r="A216" s="539"/>
      <c r="B216" s="429"/>
      <c r="C216" s="203"/>
      <c r="D216" s="203"/>
      <c r="E216" s="203"/>
      <c r="F216" s="204"/>
      <c r="G216" s="205"/>
      <c r="H216" s="206" t="s">
        <v>211</v>
      </c>
      <c r="I216" s="207"/>
      <c r="J216" s="208"/>
      <c r="K216" s="209"/>
      <c r="L216" s="210">
        <f>SUM(L214:L214)</f>
        <v>0</v>
      </c>
      <c r="M216" s="210">
        <f>SUM(M214:M214)</f>
        <v>0</v>
      </c>
      <c r="N216" s="211"/>
    </row>
    <row r="217" spans="1:14" ht="15" thickBot="1" x14ac:dyDescent="0.4">
      <c r="A217" s="539"/>
      <c r="B217" s="197"/>
      <c r="C217" s="199"/>
      <c r="D217" s="199"/>
      <c r="E217" s="199"/>
      <c r="F217" s="199"/>
      <c r="G217" s="199"/>
      <c r="H217" s="222"/>
      <c r="I217" s="222"/>
      <c r="J217" s="223"/>
      <c r="K217" s="222"/>
      <c r="L217" s="222"/>
      <c r="M217" s="222"/>
      <c r="N217" s="196"/>
    </row>
    <row r="218" spans="1:14" ht="21.5" thickBot="1" x14ac:dyDescent="0.4">
      <c r="A218" s="539"/>
      <c r="B218" s="526" t="s">
        <v>29</v>
      </c>
      <c r="C218" s="527"/>
      <c r="D218" s="527"/>
      <c r="E218" s="527"/>
      <c r="F218" s="527"/>
      <c r="G218" s="224"/>
      <c r="H218" s="224" t="s">
        <v>211</v>
      </c>
      <c r="I218" s="225"/>
      <c r="J218" s="226"/>
      <c r="K218" s="227"/>
      <c r="L218" s="228">
        <f>L168+L172+L176+L180+L184+L188+L192+L196+L200+L204+L208+L212+L216</f>
        <v>0</v>
      </c>
      <c r="M218" s="228">
        <f>M168+M172+M176+M180+M184+M188+M192+M196+M200+M204+M208+M212+M216</f>
        <v>0</v>
      </c>
      <c r="N218" s="447"/>
    </row>
    <row r="219" spans="1:14" ht="19" thickBot="1" x14ac:dyDescent="0.4">
      <c r="A219" s="542"/>
      <c r="B219" s="230"/>
      <c r="C219" s="231"/>
      <c r="D219" s="231"/>
      <c r="E219" s="232"/>
      <c r="F219" s="233"/>
      <c r="G219" s="233"/>
      <c r="H219" s="234"/>
      <c r="I219" s="235"/>
      <c r="J219" s="236"/>
      <c r="K219" s="280"/>
      <c r="L219" s="281"/>
      <c r="M219" s="278"/>
      <c r="N219" s="291"/>
    </row>
    <row r="220" spans="1:14" x14ac:dyDescent="0.35">
      <c r="J220" s="12"/>
    </row>
    <row r="221" spans="1:14" x14ac:dyDescent="0.35">
      <c r="J221" s="12"/>
    </row>
    <row r="222" spans="1:14" x14ac:dyDescent="0.35">
      <c r="J222" s="12"/>
    </row>
    <row r="223" spans="1:14" x14ac:dyDescent="0.35">
      <c r="J223" s="12"/>
    </row>
    <row r="224" spans="1:14" x14ac:dyDescent="0.35">
      <c r="J224" s="12"/>
    </row>
    <row r="225" spans="10:10" x14ac:dyDescent="0.35">
      <c r="J225" s="12"/>
    </row>
    <row r="226" spans="10:10" x14ac:dyDescent="0.35">
      <c r="J226" s="12"/>
    </row>
    <row r="227" spans="10:10" x14ac:dyDescent="0.35">
      <c r="J227" s="12"/>
    </row>
    <row r="228" spans="10:10" x14ac:dyDescent="0.35">
      <c r="J228" s="12"/>
    </row>
    <row r="229" spans="10:10" x14ac:dyDescent="0.35">
      <c r="J229" s="12"/>
    </row>
    <row r="230" spans="10:10" x14ac:dyDescent="0.35">
      <c r="J230" s="12"/>
    </row>
    <row r="231" spans="10:10" x14ac:dyDescent="0.35">
      <c r="J231" s="12"/>
    </row>
    <row r="232" spans="10:10" x14ac:dyDescent="0.35">
      <c r="J232" s="12"/>
    </row>
    <row r="233" spans="10:10" x14ac:dyDescent="0.35">
      <c r="J233" s="12"/>
    </row>
    <row r="234" spans="10:10" x14ac:dyDescent="0.35">
      <c r="J234" s="12"/>
    </row>
    <row r="235" spans="10:10" x14ac:dyDescent="0.35">
      <c r="J235" s="12"/>
    </row>
    <row r="236" spans="10:10" x14ac:dyDescent="0.35">
      <c r="J236" s="12"/>
    </row>
    <row r="237" spans="10:10" x14ac:dyDescent="0.35">
      <c r="J237" s="12"/>
    </row>
    <row r="238" spans="10:10" x14ac:dyDescent="0.35">
      <c r="J238" s="12"/>
    </row>
    <row r="239" spans="10:10" x14ac:dyDescent="0.35">
      <c r="J239" s="12"/>
    </row>
    <row r="240" spans="10:10" x14ac:dyDescent="0.35">
      <c r="J240" s="12"/>
    </row>
    <row r="241" spans="10:10" x14ac:dyDescent="0.35">
      <c r="J241" s="12"/>
    </row>
    <row r="242" spans="10:10" x14ac:dyDescent="0.35">
      <c r="J242" s="12"/>
    </row>
    <row r="243" spans="10:10" x14ac:dyDescent="0.35">
      <c r="J243" s="12"/>
    </row>
    <row r="244" spans="10:10" x14ac:dyDescent="0.35">
      <c r="J244" s="12"/>
    </row>
    <row r="245" spans="10:10" x14ac:dyDescent="0.35">
      <c r="J245" s="12"/>
    </row>
    <row r="246" spans="10:10" x14ac:dyDescent="0.35">
      <c r="J246" s="12"/>
    </row>
    <row r="247" spans="10:10" x14ac:dyDescent="0.35">
      <c r="J247" s="12"/>
    </row>
    <row r="248" spans="10:10" x14ac:dyDescent="0.35">
      <c r="J248" s="12"/>
    </row>
    <row r="249" spans="10:10" x14ac:dyDescent="0.35">
      <c r="J249" s="12"/>
    </row>
    <row r="250" spans="10:10" x14ac:dyDescent="0.35">
      <c r="J250" s="12"/>
    </row>
    <row r="251" spans="10:10" x14ac:dyDescent="0.35">
      <c r="J251" s="12"/>
    </row>
    <row r="252" spans="10:10" x14ac:dyDescent="0.35">
      <c r="J252" s="12"/>
    </row>
    <row r="253" spans="10:10" x14ac:dyDescent="0.35">
      <c r="J253" s="12"/>
    </row>
    <row r="254" spans="10:10" x14ac:dyDescent="0.35">
      <c r="J254" s="12"/>
    </row>
    <row r="255" spans="10:10" x14ac:dyDescent="0.35">
      <c r="J255" s="12"/>
    </row>
    <row r="256" spans="10:10" x14ac:dyDescent="0.35">
      <c r="J256" s="12"/>
    </row>
    <row r="257" spans="10:10" x14ac:dyDescent="0.35">
      <c r="J257" s="12"/>
    </row>
    <row r="258" spans="10:10" x14ac:dyDescent="0.35">
      <c r="J258" s="12"/>
    </row>
    <row r="259" spans="10:10" x14ac:dyDescent="0.35">
      <c r="J259" s="12"/>
    </row>
    <row r="260" spans="10:10" x14ac:dyDescent="0.35">
      <c r="J260" s="12"/>
    </row>
    <row r="261" spans="10:10" x14ac:dyDescent="0.35">
      <c r="J261" s="12"/>
    </row>
    <row r="262" spans="10:10" x14ac:dyDescent="0.35">
      <c r="J262" s="12"/>
    </row>
    <row r="263" spans="10:10" x14ac:dyDescent="0.35">
      <c r="J263" s="12"/>
    </row>
    <row r="264" spans="10:10" x14ac:dyDescent="0.35">
      <c r="J264" s="12"/>
    </row>
    <row r="265" spans="10:10" x14ac:dyDescent="0.35">
      <c r="J265" s="12"/>
    </row>
    <row r="266" spans="10:10" x14ac:dyDescent="0.35">
      <c r="J266" s="12"/>
    </row>
    <row r="267" spans="10:10" x14ac:dyDescent="0.35">
      <c r="J267" s="12"/>
    </row>
    <row r="268" spans="10:10" x14ac:dyDescent="0.35">
      <c r="J268" s="12"/>
    </row>
    <row r="269" spans="10:10" x14ac:dyDescent="0.35">
      <c r="J269" s="12"/>
    </row>
    <row r="270" spans="10:10" x14ac:dyDescent="0.35">
      <c r="J270" s="12"/>
    </row>
    <row r="271" spans="10:10" x14ac:dyDescent="0.35">
      <c r="J271" s="12"/>
    </row>
    <row r="272" spans="10:10" x14ac:dyDescent="0.35">
      <c r="J272" s="12"/>
    </row>
    <row r="273" spans="10:10" x14ac:dyDescent="0.35">
      <c r="J273" s="12"/>
    </row>
    <row r="274" spans="10:10" x14ac:dyDescent="0.35">
      <c r="J274" s="12"/>
    </row>
    <row r="275" spans="10:10" x14ac:dyDescent="0.35">
      <c r="J275" s="12"/>
    </row>
    <row r="276" spans="10:10" x14ac:dyDescent="0.35">
      <c r="J276" s="12"/>
    </row>
    <row r="277" spans="10:10" x14ac:dyDescent="0.35">
      <c r="J277" s="12"/>
    </row>
    <row r="278" spans="10:10" x14ac:dyDescent="0.35">
      <c r="J278" s="12"/>
    </row>
    <row r="279" spans="10:10" x14ac:dyDescent="0.35">
      <c r="J279" s="12"/>
    </row>
    <row r="280" spans="10:10" x14ac:dyDescent="0.35">
      <c r="J280" s="12"/>
    </row>
    <row r="281" spans="10:10" x14ac:dyDescent="0.35">
      <c r="J281" s="12"/>
    </row>
    <row r="282" spans="10:10" x14ac:dyDescent="0.35">
      <c r="J282" s="12"/>
    </row>
    <row r="283" spans="10:10" x14ac:dyDescent="0.35">
      <c r="J283" s="12"/>
    </row>
    <row r="284" spans="10:10" x14ac:dyDescent="0.35">
      <c r="J284" s="12"/>
    </row>
    <row r="285" spans="10:10" x14ac:dyDescent="0.35">
      <c r="J285" s="12"/>
    </row>
    <row r="286" spans="10:10" x14ac:dyDescent="0.35">
      <c r="J286" s="12"/>
    </row>
    <row r="287" spans="10:10" x14ac:dyDescent="0.35">
      <c r="J287" s="12"/>
    </row>
    <row r="288" spans="10:10" x14ac:dyDescent="0.35">
      <c r="J288" s="12"/>
    </row>
    <row r="289" spans="10:10" x14ac:dyDescent="0.35">
      <c r="J289" s="12"/>
    </row>
    <row r="290" spans="10:10" x14ac:dyDescent="0.35">
      <c r="J290" s="12"/>
    </row>
    <row r="291" spans="10:10" x14ac:dyDescent="0.35">
      <c r="J291" s="12"/>
    </row>
    <row r="292" spans="10:10" x14ac:dyDescent="0.35">
      <c r="J292" s="12"/>
    </row>
    <row r="293" spans="10:10" x14ac:dyDescent="0.35">
      <c r="J293" s="12"/>
    </row>
    <row r="294" spans="10:10" x14ac:dyDescent="0.35">
      <c r="J294" s="12"/>
    </row>
    <row r="295" spans="10:10" x14ac:dyDescent="0.35">
      <c r="J295" s="12"/>
    </row>
    <row r="296" spans="10:10" x14ac:dyDescent="0.35">
      <c r="J296" s="12"/>
    </row>
    <row r="297" spans="10:10" x14ac:dyDescent="0.35">
      <c r="J297" s="12"/>
    </row>
    <row r="298" spans="10:10" x14ac:dyDescent="0.35">
      <c r="J298" s="12"/>
    </row>
    <row r="299" spans="10:10" x14ac:dyDescent="0.35">
      <c r="J299" s="12"/>
    </row>
    <row r="300" spans="10:10" x14ac:dyDescent="0.35">
      <c r="J300" s="12"/>
    </row>
    <row r="301" spans="10:10" x14ac:dyDescent="0.35">
      <c r="J301" s="12"/>
    </row>
    <row r="302" spans="10:10" x14ac:dyDescent="0.35">
      <c r="J302" s="12"/>
    </row>
    <row r="303" spans="10:10" x14ac:dyDescent="0.35">
      <c r="J303" s="12"/>
    </row>
    <row r="304" spans="10:10" x14ac:dyDescent="0.35">
      <c r="J304" s="12"/>
    </row>
    <row r="305" spans="10:10" x14ac:dyDescent="0.35">
      <c r="J305" s="12"/>
    </row>
    <row r="306" spans="10:10" x14ac:dyDescent="0.35">
      <c r="J306" s="12"/>
    </row>
    <row r="307" spans="10:10" x14ac:dyDescent="0.35">
      <c r="J307" s="12"/>
    </row>
    <row r="308" spans="10:10" x14ac:dyDescent="0.35">
      <c r="J308" s="12"/>
    </row>
    <row r="309" spans="10:10" x14ac:dyDescent="0.35">
      <c r="J309" s="12"/>
    </row>
    <row r="310" spans="10:10" x14ac:dyDescent="0.35">
      <c r="J310" s="12"/>
    </row>
    <row r="311" spans="10:10" x14ac:dyDescent="0.35">
      <c r="J311" s="12"/>
    </row>
    <row r="312" spans="10:10" x14ac:dyDescent="0.35">
      <c r="J312" s="12"/>
    </row>
    <row r="313" spans="10:10" x14ac:dyDescent="0.35">
      <c r="J313" s="12"/>
    </row>
    <row r="314" spans="10:10" x14ac:dyDescent="0.35">
      <c r="J314" s="12"/>
    </row>
    <row r="315" spans="10:10" x14ac:dyDescent="0.35">
      <c r="J315" s="12"/>
    </row>
    <row r="316" spans="10:10" x14ac:dyDescent="0.35">
      <c r="J316" s="12"/>
    </row>
    <row r="317" spans="10:10" x14ac:dyDescent="0.35">
      <c r="J317" s="12"/>
    </row>
    <row r="318" spans="10:10" x14ac:dyDescent="0.35">
      <c r="J318" s="12"/>
    </row>
    <row r="319" spans="10:10" x14ac:dyDescent="0.35">
      <c r="J319" s="12"/>
    </row>
    <row r="320" spans="10:10" x14ac:dyDescent="0.35">
      <c r="J320" s="12"/>
    </row>
    <row r="321" spans="10:10" x14ac:dyDescent="0.35">
      <c r="J321" s="12"/>
    </row>
    <row r="322" spans="10:10" x14ac:dyDescent="0.35">
      <c r="J322" s="12"/>
    </row>
    <row r="323" spans="10:10" x14ac:dyDescent="0.35">
      <c r="J323" s="12"/>
    </row>
    <row r="324" spans="10:10" x14ac:dyDescent="0.35">
      <c r="J324" s="12"/>
    </row>
    <row r="325" spans="10:10" x14ac:dyDescent="0.35">
      <c r="J325" s="12"/>
    </row>
    <row r="326" spans="10:10" x14ac:dyDescent="0.35">
      <c r="J326" s="12"/>
    </row>
    <row r="327" spans="10:10" x14ac:dyDescent="0.35">
      <c r="J327" s="12"/>
    </row>
    <row r="328" spans="10:10" x14ac:dyDescent="0.35">
      <c r="J328" s="12"/>
    </row>
    <row r="329" spans="10:10" x14ac:dyDescent="0.35">
      <c r="J329" s="12"/>
    </row>
    <row r="330" spans="10:10" x14ac:dyDescent="0.35">
      <c r="J330" s="12"/>
    </row>
    <row r="331" spans="10:10" x14ac:dyDescent="0.35">
      <c r="J331" s="12"/>
    </row>
    <row r="332" spans="10:10" x14ac:dyDescent="0.35">
      <c r="J332" s="12"/>
    </row>
    <row r="333" spans="10:10" x14ac:dyDescent="0.35">
      <c r="J333" s="12"/>
    </row>
    <row r="334" spans="10:10" x14ac:dyDescent="0.35">
      <c r="J334" s="12"/>
    </row>
    <row r="335" spans="10:10" x14ac:dyDescent="0.35">
      <c r="J335" s="12"/>
    </row>
    <row r="336" spans="10:10" x14ac:dyDescent="0.35">
      <c r="J336" s="12"/>
    </row>
    <row r="337" spans="10:10" x14ac:dyDescent="0.35">
      <c r="J337" s="12"/>
    </row>
    <row r="338" spans="10:10" x14ac:dyDescent="0.35">
      <c r="J338" s="12"/>
    </row>
    <row r="339" spans="10:10" x14ac:dyDescent="0.35">
      <c r="J339" s="12"/>
    </row>
    <row r="340" spans="10:10" x14ac:dyDescent="0.35">
      <c r="J340" s="12"/>
    </row>
    <row r="341" spans="10:10" x14ac:dyDescent="0.35">
      <c r="J341" s="12"/>
    </row>
    <row r="342" spans="10:10" x14ac:dyDescent="0.35">
      <c r="J342" s="12"/>
    </row>
    <row r="343" spans="10:10" x14ac:dyDescent="0.35">
      <c r="J343" s="12"/>
    </row>
    <row r="344" spans="10:10" x14ac:dyDescent="0.35">
      <c r="J344" s="12"/>
    </row>
    <row r="345" spans="10:10" x14ac:dyDescent="0.35">
      <c r="J345" s="12"/>
    </row>
    <row r="346" spans="10:10" x14ac:dyDescent="0.35">
      <c r="J346" s="12"/>
    </row>
    <row r="347" spans="10:10" x14ac:dyDescent="0.35">
      <c r="J347" s="12"/>
    </row>
    <row r="348" spans="10:10" x14ac:dyDescent="0.35">
      <c r="J348" s="12"/>
    </row>
    <row r="349" spans="10:10" x14ac:dyDescent="0.35">
      <c r="J349" s="12"/>
    </row>
    <row r="350" spans="10:10" x14ac:dyDescent="0.35">
      <c r="J350" s="12"/>
    </row>
    <row r="351" spans="10:10" x14ac:dyDescent="0.35">
      <c r="J351" s="12"/>
    </row>
    <row r="352" spans="10:10" x14ac:dyDescent="0.35">
      <c r="J352" s="12"/>
    </row>
    <row r="353" spans="10:10" x14ac:dyDescent="0.35">
      <c r="J353" s="12"/>
    </row>
    <row r="354" spans="10:10" x14ac:dyDescent="0.35">
      <c r="J354" s="12"/>
    </row>
    <row r="355" spans="10:10" x14ac:dyDescent="0.35">
      <c r="J355" s="12"/>
    </row>
    <row r="356" spans="10:10" x14ac:dyDescent="0.35">
      <c r="J356" s="12"/>
    </row>
    <row r="357" spans="10:10" x14ac:dyDescent="0.35">
      <c r="J357" s="12"/>
    </row>
    <row r="358" spans="10:10" x14ac:dyDescent="0.35">
      <c r="J358" s="12"/>
    </row>
    <row r="359" spans="10:10" x14ac:dyDescent="0.35">
      <c r="J359" s="12"/>
    </row>
    <row r="360" spans="10:10" x14ac:dyDescent="0.35">
      <c r="J360" s="12"/>
    </row>
    <row r="361" spans="10:10" x14ac:dyDescent="0.35">
      <c r="J361" s="12"/>
    </row>
    <row r="362" spans="10:10" x14ac:dyDescent="0.35">
      <c r="J362" s="12"/>
    </row>
    <row r="363" spans="10:10" x14ac:dyDescent="0.35">
      <c r="J363" s="12"/>
    </row>
    <row r="364" spans="10:10" x14ac:dyDescent="0.35">
      <c r="J364" s="12"/>
    </row>
    <row r="365" spans="10:10" x14ac:dyDescent="0.35">
      <c r="J365" s="12"/>
    </row>
    <row r="366" spans="10:10" x14ac:dyDescent="0.35">
      <c r="J366" s="12"/>
    </row>
    <row r="367" spans="10:10" x14ac:dyDescent="0.35">
      <c r="J367" s="12"/>
    </row>
    <row r="368" spans="10:10" x14ac:dyDescent="0.35">
      <c r="J368" s="12"/>
    </row>
    <row r="369" spans="10:10" x14ac:dyDescent="0.35">
      <c r="J369" s="12"/>
    </row>
    <row r="370" spans="10:10" x14ac:dyDescent="0.35">
      <c r="J370" s="12"/>
    </row>
    <row r="371" spans="10:10" x14ac:dyDescent="0.35">
      <c r="J371" s="12"/>
    </row>
    <row r="372" spans="10:10" x14ac:dyDescent="0.35">
      <c r="J372" s="12"/>
    </row>
    <row r="373" spans="10:10" x14ac:dyDescent="0.35">
      <c r="J373" s="12"/>
    </row>
    <row r="374" spans="10:10" x14ac:dyDescent="0.35">
      <c r="J374" s="12"/>
    </row>
  </sheetData>
  <sheetProtection sheet="1" objects="1" scenarios="1"/>
  <mergeCells count="19">
    <mergeCell ref="A165:A219"/>
    <mergeCell ref="B218:F218"/>
    <mergeCell ref="A123:A141"/>
    <mergeCell ref="B140:F140"/>
    <mergeCell ref="A142:A148"/>
    <mergeCell ref="B147:F147"/>
    <mergeCell ref="A149:A164"/>
    <mergeCell ref="B163:F163"/>
    <mergeCell ref="A9:G9"/>
    <mergeCell ref="F12:G12"/>
    <mergeCell ref="B121:F121"/>
    <mergeCell ref="C12:D12"/>
    <mergeCell ref="A10:K10"/>
    <mergeCell ref="A14:A122"/>
    <mergeCell ref="A8:G8"/>
    <mergeCell ref="A2:N2"/>
    <mergeCell ref="A5:G5"/>
    <mergeCell ref="A6:G6"/>
    <mergeCell ref="A7:G7"/>
  </mergeCells>
  <printOptions horizontalCentered="1"/>
  <pageMargins left="0.19685039370078741" right="0.19685039370078741" top="0.31496062992125984" bottom="0.35433070866141736" header="0.23622047244094491" footer="0.19685039370078741"/>
  <pageSetup paperSize="9" scale="42" firstPageNumber="10" fitToHeight="0" orientation="landscape" useFirstPageNumber="1" horizontalDpi="1200" verticalDpi="1200" r:id="rId1"/>
  <headerFooter>
    <oddFooter>&amp;C&amp;P</oddFooter>
  </headerFooter>
  <ignoredErrors>
    <ignoredError sqref="E31 E42 E53 E64 E75 E86 E105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21"/>
  <sheetViews>
    <sheetView zoomScale="60" zoomScaleNormal="60" zoomScalePageLayoutView="70" workbookViewId="0">
      <selection activeCell="K15" sqref="K15"/>
    </sheetView>
  </sheetViews>
  <sheetFormatPr defaultColWidth="9.1796875" defaultRowHeight="14.5" x14ac:dyDescent="0.35"/>
  <cols>
    <col min="1" max="1" width="5" style="23" customWidth="1"/>
    <col min="2" max="2" width="5.7265625" style="25" customWidth="1"/>
    <col min="3" max="3" width="5.81640625" style="24" customWidth="1"/>
    <col min="4" max="4" width="7" style="24" customWidth="1"/>
    <col min="5" max="5" width="3.7265625" style="24" customWidth="1"/>
    <col min="6" max="6" width="50.7265625" style="24" customWidth="1"/>
    <col min="7" max="7" width="22.81640625" style="24" customWidth="1"/>
    <col min="8" max="8" width="58.26953125" style="23" customWidth="1"/>
    <col min="9" max="11" width="13.7265625" style="23" customWidth="1"/>
    <col min="12" max="13" width="25.7265625" style="23" customWidth="1"/>
    <col min="14" max="14" width="90.7265625" style="23" customWidth="1"/>
    <col min="15" max="16384" width="9.1796875" style="23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88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L111</f>
        <v>0</v>
      </c>
      <c r="M5" s="170">
        <f>M111</f>
        <v>0</v>
      </c>
      <c r="N5" s="169"/>
    </row>
    <row r="6" spans="1:14" ht="18.5" x14ac:dyDescent="0.35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L130</f>
        <v>0</v>
      </c>
      <c r="M6" s="170">
        <f>M130</f>
        <v>0</v>
      </c>
      <c r="N6" s="169"/>
    </row>
    <row r="7" spans="1:14" ht="19" thickBot="1" x14ac:dyDescent="0.4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L137</f>
        <v>0</v>
      </c>
      <c r="M7" s="170">
        <f>M137</f>
        <v>0</v>
      </c>
      <c r="N7" s="169"/>
    </row>
    <row r="8" spans="1:14" ht="18.5" hidden="1" x14ac:dyDescent="0.35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L153</f>
        <v>0</v>
      </c>
      <c r="M8" s="170">
        <f>M153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L220</f>
        <v>0</v>
      </c>
      <c r="M9" s="170">
        <f>M220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22" customFormat="1" ht="15" customHeight="1" thickBot="1" x14ac:dyDescent="0.4">
      <c r="A13" s="176"/>
      <c r="B13" s="177"/>
      <c r="C13" s="178"/>
      <c r="D13" s="178"/>
      <c r="E13" s="179"/>
      <c r="F13" s="180"/>
      <c r="G13" s="180"/>
      <c r="H13" s="180"/>
      <c r="I13" s="180"/>
      <c r="J13" s="180"/>
      <c r="K13" s="180"/>
      <c r="L13" s="180"/>
      <c r="M13" s="180"/>
      <c r="N13" s="180"/>
    </row>
    <row r="14" spans="1:14" ht="14" customHeight="1" x14ac:dyDescent="0.35">
      <c r="A14" s="546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3"/>
      <c r="L14" s="183"/>
      <c r="M14" s="183"/>
      <c r="N14" s="186"/>
    </row>
    <row r="15" spans="1:14" ht="50.5" customHeight="1" x14ac:dyDescent="0.35">
      <c r="A15" s="547"/>
      <c r="B15" s="216"/>
      <c r="C15" s="188" t="s">
        <v>10</v>
      </c>
      <c r="D15" s="188" t="s">
        <v>137</v>
      </c>
      <c r="E15" s="189"/>
      <c r="F15" s="190" t="s">
        <v>106</v>
      </c>
      <c r="G15" s="191" t="s">
        <v>11</v>
      </c>
      <c r="H15" s="192" t="s">
        <v>228</v>
      </c>
      <c r="I15" s="193" t="s">
        <v>4</v>
      </c>
      <c r="J15" s="194">
        <f>13.13*0.3</f>
        <v>3.9390000000000001</v>
      </c>
      <c r="K15" s="98"/>
      <c r="L15" s="195">
        <f>K15*J15</f>
        <v>0</v>
      </c>
      <c r="M15" s="98"/>
      <c r="N15" s="196" t="s">
        <v>292</v>
      </c>
    </row>
    <row r="16" spans="1:14" ht="18.5" x14ac:dyDescent="0.35">
      <c r="A16" s="547"/>
      <c r="B16" s="197"/>
      <c r="C16" s="198"/>
      <c r="D16" s="198"/>
      <c r="E16" s="199"/>
      <c r="F16" s="200"/>
      <c r="G16" s="191"/>
      <c r="H16" s="192" t="s">
        <v>229</v>
      </c>
      <c r="I16" s="193" t="s">
        <v>4</v>
      </c>
      <c r="J16" s="194">
        <f>3.72+0.3*(11.5)+1.5</f>
        <v>8.67</v>
      </c>
      <c r="K16" s="98"/>
      <c r="L16" s="195">
        <f>K16*J16</f>
        <v>0</v>
      </c>
      <c r="M16" s="98"/>
      <c r="N16" s="196" t="s">
        <v>292</v>
      </c>
    </row>
    <row r="17" spans="1:14" ht="18.5" x14ac:dyDescent="0.35">
      <c r="A17" s="547"/>
      <c r="B17" s="197"/>
      <c r="C17" s="198"/>
      <c r="D17" s="198"/>
      <c r="E17" s="199"/>
      <c r="F17" s="200"/>
      <c r="G17" s="191"/>
      <c r="H17" s="192" t="s">
        <v>232</v>
      </c>
      <c r="I17" s="193" t="s">
        <v>4</v>
      </c>
      <c r="J17" s="194">
        <f>3.72+0.12*0.3*10+0.3*(0.845+1.16+1.545+0.625+0.835+3.835+0.735+0.37+0.505+1.15+0.625)</f>
        <v>7.7489999999999997</v>
      </c>
      <c r="K17" s="98"/>
      <c r="L17" s="195">
        <f>K17*J17</f>
        <v>0</v>
      </c>
      <c r="M17" s="98"/>
      <c r="N17" s="196" t="s">
        <v>292</v>
      </c>
    </row>
    <row r="18" spans="1:14" x14ac:dyDescent="0.35">
      <c r="A18" s="547"/>
      <c r="B18" s="197"/>
      <c r="C18" s="199"/>
      <c r="D18" s="199"/>
      <c r="E18" s="199"/>
      <c r="F18" s="200"/>
      <c r="G18" s="191"/>
      <c r="H18" s="192"/>
      <c r="I18" s="193"/>
      <c r="J18" s="194"/>
      <c r="K18" s="195"/>
      <c r="L18" s="195"/>
      <c r="M18" s="195"/>
      <c r="N18" s="196"/>
    </row>
    <row r="19" spans="1:14" x14ac:dyDescent="0.35">
      <c r="A19" s="547"/>
      <c r="B19" s="197"/>
      <c r="C19" s="199"/>
      <c r="D19" s="199"/>
      <c r="E19" s="199"/>
      <c r="F19" s="200"/>
      <c r="G19" s="191" t="s">
        <v>13</v>
      </c>
      <c r="H19" s="192" t="s">
        <v>112</v>
      </c>
      <c r="I19" s="193" t="s">
        <v>4</v>
      </c>
      <c r="J19" s="194">
        <f>0.3*(11.5)</f>
        <v>3.4499999999999997</v>
      </c>
      <c r="K19" s="98"/>
      <c r="L19" s="195">
        <f>K19*J19</f>
        <v>0</v>
      </c>
      <c r="M19" s="98"/>
      <c r="N19" s="196" t="s">
        <v>256</v>
      </c>
    </row>
    <row r="20" spans="1:14" x14ac:dyDescent="0.35">
      <c r="A20" s="547"/>
      <c r="B20" s="197"/>
      <c r="C20" s="199"/>
      <c r="D20" s="199"/>
      <c r="E20" s="199"/>
      <c r="F20" s="200"/>
      <c r="G20" s="191"/>
      <c r="H20" s="192" t="s">
        <v>65</v>
      </c>
      <c r="I20" s="193" t="s">
        <v>4</v>
      </c>
      <c r="J20" s="194">
        <f>3.72+0.3*(11.5)+13.26*0.3+13.13*0.3</f>
        <v>15.087</v>
      </c>
      <c r="K20" s="98"/>
      <c r="L20" s="195">
        <f>K20*J20</f>
        <v>0</v>
      </c>
      <c r="M20" s="98"/>
      <c r="N20" s="196"/>
    </row>
    <row r="21" spans="1:14" x14ac:dyDescent="0.35">
      <c r="A21" s="547"/>
      <c r="B21" s="197"/>
      <c r="C21" s="199"/>
      <c r="D21" s="199"/>
      <c r="E21" s="199"/>
      <c r="F21" s="200"/>
      <c r="G21" s="191"/>
      <c r="H21" s="192" t="s">
        <v>109</v>
      </c>
      <c r="I21" s="193" t="s">
        <v>4</v>
      </c>
      <c r="J21" s="194">
        <v>1.4</v>
      </c>
      <c r="K21" s="98"/>
      <c r="L21" s="195">
        <f>K21*J21</f>
        <v>0</v>
      </c>
      <c r="M21" s="98"/>
      <c r="N21" s="196" t="s">
        <v>256</v>
      </c>
    </row>
    <row r="22" spans="1:14" x14ac:dyDescent="0.35">
      <c r="A22" s="547"/>
      <c r="B22" s="197"/>
      <c r="C22" s="199"/>
      <c r="D22" s="199"/>
      <c r="E22" s="199"/>
      <c r="F22" s="200"/>
      <c r="G22" s="191"/>
      <c r="H22" s="192" t="s">
        <v>141</v>
      </c>
      <c r="I22" s="193" t="s">
        <v>4</v>
      </c>
      <c r="J22" s="194">
        <f>3.72+13.13*0.3</f>
        <v>7.6590000000000007</v>
      </c>
      <c r="K22" s="98"/>
      <c r="L22" s="195">
        <f>K22*J22</f>
        <v>0</v>
      </c>
      <c r="M22" s="98"/>
      <c r="N22" s="196"/>
    </row>
    <row r="23" spans="1:14" x14ac:dyDescent="0.35">
      <c r="A23" s="547"/>
      <c r="B23" s="197"/>
      <c r="C23" s="199"/>
      <c r="D23" s="199"/>
      <c r="E23" s="199"/>
      <c r="F23" s="200"/>
      <c r="G23" s="191"/>
      <c r="H23" s="192"/>
      <c r="I23" s="193"/>
      <c r="J23" s="194"/>
      <c r="K23" s="195"/>
      <c r="L23" s="195"/>
      <c r="M23" s="195"/>
      <c r="N23" s="196"/>
    </row>
    <row r="24" spans="1:14" ht="15.5" x14ac:dyDescent="0.35">
      <c r="A24" s="547"/>
      <c r="B24" s="429"/>
      <c r="C24" s="203"/>
      <c r="D24" s="203"/>
      <c r="E24" s="203"/>
      <c r="F24" s="204"/>
      <c r="G24" s="205"/>
      <c r="H24" s="206" t="s">
        <v>211</v>
      </c>
      <c r="I24" s="207"/>
      <c r="J24" s="208"/>
      <c r="K24" s="209"/>
      <c r="L24" s="210">
        <f>SUM(L15:L22)</f>
        <v>0</v>
      </c>
      <c r="M24" s="210">
        <f>SUM(M15:M22)</f>
        <v>0</v>
      </c>
      <c r="N24" s="211"/>
    </row>
    <row r="25" spans="1:14" x14ac:dyDescent="0.35">
      <c r="A25" s="547"/>
      <c r="B25" s="197"/>
      <c r="C25" s="199"/>
      <c r="D25" s="199"/>
      <c r="E25" s="199"/>
      <c r="F25" s="199"/>
      <c r="G25" s="199"/>
      <c r="H25" s="222"/>
      <c r="I25" s="222"/>
      <c r="J25" s="223"/>
      <c r="K25" s="222"/>
      <c r="L25" s="222"/>
      <c r="M25" s="222"/>
      <c r="N25" s="196"/>
    </row>
    <row r="26" spans="1:14" ht="15" customHeight="1" x14ac:dyDescent="0.35">
      <c r="A26" s="547"/>
      <c r="B26" s="216"/>
      <c r="C26" s="188" t="s">
        <v>10</v>
      </c>
      <c r="D26" s="188" t="s">
        <v>138</v>
      </c>
      <c r="E26" s="189"/>
      <c r="F26" s="190" t="s">
        <v>105</v>
      </c>
      <c r="G26" s="191" t="s">
        <v>12</v>
      </c>
      <c r="H26" s="192" t="s">
        <v>257</v>
      </c>
      <c r="I26" s="193" t="s">
        <v>6</v>
      </c>
      <c r="J26" s="194">
        <v>65</v>
      </c>
      <c r="K26" s="98"/>
      <c r="L26" s="195">
        <f>K26*J26</f>
        <v>0</v>
      </c>
      <c r="M26" s="98"/>
      <c r="N26" s="196" t="s">
        <v>298</v>
      </c>
    </row>
    <row r="27" spans="1:14" ht="15" customHeight="1" x14ac:dyDescent="0.35">
      <c r="A27" s="547"/>
      <c r="B27" s="217"/>
      <c r="C27" s="218"/>
      <c r="D27" s="218"/>
      <c r="E27" s="219"/>
      <c r="F27" s="220"/>
      <c r="G27" s="191"/>
      <c r="H27" s="192" t="s">
        <v>231</v>
      </c>
      <c r="I27" s="193" t="s">
        <v>4</v>
      </c>
      <c r="J27" s="194">
        <v>35</v>
      </c>
      <c r="K27" s="98"/>
      <c r="L27" s="195">
        <f>K27*J27</f>
        <v>0</v>
      </c>
      <c r="M27" s="98"/>
      <c r="N27" s="196" t="s">
        <v>294</v>
      </c>
    </row>
    <row r="28" spans="1:14" ht="15" customHeight="1" x14ac:dyDescent="0.35">
      <c r="A28" s="547"/>
      <c r="B28" s="217"/>
      <c r="C28" s="219"/>
      <c r="D28" s="219"/>
      <c r="E28" s="219"/>
      <c r="F28" s="288"/>
      <c r="G28" s="200"/>
      <c r="H28" s="192"/>
      <c r="I28" s="193"/>
      <c r="J28" s="194"/>
      <c r="K28" s="195"/>
      <c r="L28" s="195"/>
      <c r="M28" s="195"/>
      <c r="N28" s="196"/>
    </row>
    <row r="29" spans="1:14" ht="15.5" x14ac:dyDescent="0.35">
      <c r="A29" s="547"/>
      <c r="B29" s="429"/>
      <c r="C29" s="203"/>
      <c r="D29" s="203"/>
      <c r="E29" s="203"/>
      <c r="F29" s="204"/>
      <c r="G29" s="205"/>
      <c r="H29" s="206" t="s">
        <v>211</v>
      </c>
      <c r="I29" s="207"/>
      <c r="J29" s="208"/>
      <c r="K29" s="209"/>
      <c r="L29" s="210">
        <f>SUM(L26:L27)</f>
        <v>0</v>
      </c>
      <c r="M29" s="210">
        <f>SUM(M26:M27)</f>
        <v>0</v>
      </c>
      <c r="N29" s="211"/>
    </row>
    <row r="30" spans="1:14" x14ac:dyDescent="0.35">
      <c r="A30" s="547"/>
      <c r="B30" s="197"/>
      <c r="C30" s="199"/>
      <c r="D30" s="199"/>
      <c r="E30" s="199"/>
      <c r="F30" s="199"/>
      <c r="G30" s="199"/>
      <c r="H30" s="222"/>
      <c r="I30" s="222"/>
      <c r="J30" s="223"/>
      <c r="K30" s="222"/>
      <c r="L30" s="222"/>
      <c r="M30" s="222"/>
      <c r="N30" s="196"/>
    </row>
    <row r="31" spans="1:14" ht="18.5" x14ac:dyDescent="0.35">
      <c r="A31" s="547"/>
      <c r="B31" s="216"/>
      <c r="C31" s="188" t="s">
        <v>10</v>
      </c>
      <c r="D31" s="188" t="s">
        <v>139</v>
      </c>
      <c r="E31" s="433" t="s">
        <v>110</v>
      </c>
      <c r="F31" s="190" t="s">
        <v>260</v>
      </c>
      <c r="G31" s="191" t="s">
        <v>11</v>
      </c>
      <c r="H31" s="192" t="s">
        <v>228</v>
      </c>
      <c r="I31" s="193" t="s">
        <v>4</v>
      </c>
      <c r="J31" s="194">
        <f>3.14*0.6*0.77</f>
        <v>1.45068</v>
      </c>
      <c r="K31" s="98"/>
      <c r="L31" s="195">
        <f>K31*J31</f>
        <v>0</v>
      </c>
      <c r="M31" s="98"/>
      <c r="N31" s="196" t="s">
        <v>223</v>
      </c>
    </row>
    <row r="32" spans="1:14" ht="58" x14ac:dyDescent="0.35">
      <c r="A32" s="547"/>
      <c r="B32" s="197"/>
      <c r="C32" s="198"/>
      <c r="D32" s="198"/>
      <c r="E32" s="199"/>
      <c r="F32" s="200"/>
      <c r="G32" s="191"/>
      <c r="H32" s="221" t="s">
        <v>348</v>
      </c>
      <c r="I32" s="193" t="s">
        <v>4</v>
      </c>
      <c r="J32" s="194">
        <f>3.14*0.3*0.3*4+4*0.1*0.77</f>
        <v>1.4383999999999999</v>
      </c>
      <c r="K32" s="98"/>
      <c r="L32" s="195">
        <f>K32*J32</f>
        <v>0</v>
      </c>
      <c r="M32" s="98"/>
      <c r="N32" s="196"/>
    </row>
    <row r="33" spans="1:14" x14ac:dyDescent="0.35">
      <c r="A33" s="547"/>
      <c r="B33" s="197"/>
      <c r="C33" s="199"/>
      <c r="D33" s="199"/>
      <c r="E33" s="199"/>
      <c r="F33" s="200"/>
      <c r="G33" s="191"/>
      <c r="H33" s="192" t="s">
        <v>230</v>
      </c>
      <c r="I33" s="193" t="s">
        <v>4</v>
      </c>
      <c r="J33" s="194">
        <f>3.14*0.3*0.3</f>
        <v>0.28259999999999996</v>
      </c>
      <c r="K33" s="98"/>
      <c r="L33" s="195">
        <f>K33*J33</f>
        <v>0</v>
      </c>
      <c r="M33" s="98"/>
      <c r="N33" s="196"/>
    </row>
    <row r="34" spans="1:14" x14ac:dyDescent="0.35">
      <c r="A34" s="547"/>
      <c r="B34" s="197"/>
      <c r="C34" s="199"/>
      <c r="D34" s="199"/>
      <c r="E34" s="199"/>
      <c r="F34" s="200"/>
      <c r="G34" s="191"/>
      <c r="H34" s="192"/>
      <c r="I34" s="193"/>
      <c r="J34" s="194"/>
      <c r="K34" s="195"/>
      <c r="L34" s="195"/>
      <c r="M34" s="195"/>
      <c r="N34" s="196"/>
    </row>
    <row r="35" spans="1:14" x14ac:dyDescent="0.35">
      <c r="A35" s="547"/>
      <c r="B35" s="197"/>
      <c r="C35" s="199"/>
      <c r="D35" s="199"/>
      <c r="E35" s="199"/>
      <c r="F35" s="200"/>
      <c r="G35" s="191" t="s">
        <v>13</v>
      </c>
      <c r="H35" s="192" t="s">
        <v>113</v>
      </c>
      <c r="I35" s="193" t="s">
        <v>4</v>
      </c>
      <c r="J35" s="194">
        <f>(3.14*0.6*0.77+3.14*0.3*0.3)*1.2</f>
        <v>2.079936</v>
      </c>
      <c r="K35" s="98"/>
      <c r="L35" s="195">
        <f>K35*J35</f>
        <v>0</v>
      </c>
      <c r="M35" s="98"/>
      <c r="N35" s="196" t="s">
        <v>256</v>
      </c>
    </row>
    <row r="36" spans="1:14" x14ac:dyDescent="0.35">
      <c r="A36" s="547"/>
      <c r="B36" s="197"/>
      <c r="C36" s="199"/>
      <c r="D36" s="199"/>
      <c r="E36" s="199"/>
      <c r="F36" s="200"/>
      <c r="G36" s="191"/>
      <c r="H36" s="192" t="s">
        <v>65</v>
      </c>
      <c r="I36" s="193" t="s">
        <v>4</v>
      </c>
      <c r="J36" s="194">
        <f>J35</f>
        <v>2.079936</v>
      </c>
      <c r="K36" s="98"/>
      <c r="L36" s="195">
        <f>K36*J36</f>
        <v>0</v>
      </c>
      <c r="M36" s="98"/>
      <c r="N36" s="196"/>
    </row>
    <row r="37" spans="1:14" x14ac:dyDescent="0.35">
      <c r="A37" s="547"/>
      <c r="B37" s="197"/>
      <c r="C37" s="199"/>
      <c r="D37" s="199"/>
      <c r="E37" s="199"/>
      <c r="F37" s="200"/>
      <c r="G37" s="191"/>
      <c r="H37" s="192"/>
      <c r="I37" s="193"/>
      <c r="J37" s="194"/>
      <c r="K37" s="195"/>
      <c r="L37" s="195"/>
      <c r="M37" s="195"/>
      <c r="N37" s="196"/>
    </row>
    <row r="38" spans="1:14" ht="29" x14ac:dyDescent="0.35">
      <c r="A38" s="547"/>
      <c r="B38" s="197"/>
      <c r="C38" s="199"/>
      <c r="D38" s="199"/>
      <c r="E38" s="199"/>
      <c r="F38" s="200"/>
      <c r="G38" s="191" t="s">
        <v>14</v>
      </c>
      <c r="H38" s="192" t="s">
        <v>266</v>
      </c>
      <c r="I38" s="193" t="s">
        <v>6</v>
      </c>
      <c r="J38" s="194">
        <v>1</v>
      </c>
      <c r="K38" s="98"/>
      <c r="L38" s="195">
        <f>K38*J38</f>
        <v>0</v>
      </c>
      <c r="M38" s="98"/>
      <c r="N38" s="410" t="s">
        <v>346</v>
      </c>
    </row>
    <row r="39" spans="1:14" x14ac:dyDescent="0.35">
      <c r="A39" s="547"/>
      <c r="B39" s="197"/>
      <c r="C39" s="199"/>
      <c r="D39" s="199"/>
      <c r="E39" s="199"/>
      <c r="F39" s="200"/>
      <c r="G39" s="200"/>
      <c r="H39" s="192"/>
      <c r="I39" s="193"/>
      <c r="J39" s="194"/>
      <c r="K39" s="195"/>
      <c r="L39" s="195"/>
      <c r="M39" s="195"/>
      <c r="N39" s="196"/>
    </row>
    <row r="40" spans="1:14" ht="15.5" x14ac:dyDescent="0.35">
      <c r="A40" s="547"/>
      <c r="B40" s="429"/>
      <c r="C40" s="203"/>
      <c r="D40" s="203"/>
      <c r="E40" s="203"/>
      <c r="F40" s="204"/>
      <c r="G40" s="205"/>
      <c r="H40" s="206" t="s">
        <v>211</v>
      </c>
      <c r="I40" s="207"/>
      <c r="J40" s="208"/>
      <c r="K40" s="209"/>
      <c r="L40" s="210">
        <f>SUM(L31:L38)</f>
        <v>0</v>
      </c>
      <c r="M40" s="210">
        <f>SUM(M31:M38)</f>
        <v>0</v>
      </c>
      <c r="N40" s="211"/>
    </row>
    <row r="41" spans="1:14" x14ac:dyDescent="0.35">
      <c r="A41" s="547"/>
      <c r="B41" s="197"/>
      <c r="C41" s="199"/>
      <c r="D41" s="199"/>
      <c r="E41" s="199"/>
      <c r="F41" s="199"/>
      <c r="G41" s="199"/>
      <c r="H41" s="222"/>
      <c r="I41" s="222"/>
      <c r="J41" s="223"/>
      <c r="K41" s="222"/>
      <c r="L41" s="222"/>
      <c r="M41" s="222"/>
      <c r="N41" s="196"/>
    </row>
    <row r="42" spans="1:14" ht="18.5" x14ac:dyDescent="0.35">
      <c r="A42" s="547"/>
      <c r="B42" s="216"/>
      <c r="C42" s="188" t="s">
        <v>10</v>
      </c>
      <c r="D42" s="188" t="s">
        <v>139</v>
      </c>
      <c r="E42" s="433" t="s">
        <v>115</v>
      </c>
      <c r="F42" s="190" t="s">
        <v>267</v>
      </c>
      <c r="G42" s="191" t="s">
        <v>11</v>
      </c>
      <c r="H42" s="192" t="s">
        <v>228</v>
      </c>
      <c r="I42" s="193" t="s">
        <v>4</v>
      </c>
      <c r="J42" s="194">
        <f>3.14*0.45*0.77</f>
        <v>1.0880100000000001</v>
      </c>
      <c r="K42" s="98"/>
      <c r="L42" s="195">
        <f t="shared" ref="L42:L44" si="0">K42*J42</f>
        <v>0</v>
      </c>
      <c r="M42" s="98"/>
      <c r="N42" s="196" t="s">
        <v>223</v>
      </c>
    </row>
    <row r="43" spans="1:14" ht="18.5" x14ac:dyDescent="0.35">
      <c r="A43" s="547"/>
      <c r="B43" s="197"/>
      <c r="C43" s="198"/>
      <c r="D43" s="198"/>
      <c r="E43" s="199"/>
      <c r="F43" s="200"/>
      <c r="G43" s="191"/>
      <c r="H43" s="192" t="s">
        <v>229</v>
      </c>
      <c r="I43" s="193" t="s">
        <v>4</v>
      </c>
      <c r="J43" s="194">
        <f>3.14*0.225*0.225*4+4*0.1*0.77</f>
        <v>0.94385000000000008</v>
      </c>
      <c r="K43" s="98"/>
      <c r="L43" s="195">
        <f t="shared" si="0"/>
        <v>0</v>
      </c>
      <c r="M43" s="98"/>
      <c r="N43" s="196"/>
    </row>
    <row r="44" spans="1:14" x14ac:dyDescent="0.35">
      <c r="A44" s="547"/>
      <c r="B44" s="197"/>
      <c r="C44" s="199"/>
      <c r="D44" s="199"/>
      <c r="E44" s="199"/>
      <c r="F44" s="200"/>
      <c r="G44" s="191"/>
      <c r="H44" s="192" t="s">
        <v>230</v>
      </c>
      <c r="I44" s="193" t="s">
        <v>4</v>
      </c>
      <c r="J44" s="194">
        <f>3.14*0.225*0.225</f>
        <v>0.15896250000000001</v>
      </c>
      <c r="K44" s="98"/>
      <c r="L44" s="195">
        <f t="shared" si="0"/>
        <v>0</v>
      </c>
      <c r="M44" s="98"/>
      <c r="N44" s="196"/>
    </row>
    <row r="45" spans="1:14" x14ac:dyDescent="0.35">
      <c r="A45" s="547"/>
      <c r="B45" s="197"/>
      <c r="C45" s="199"/>
      <c r="D45" s="199"/>
      <c r="E45" s="199"/>
      <c r="F45" s="200"/>
      <c r="G45" s="191"/>
      <c r="H45" s="192"/>
      <c r="I45" s="193"/>
      <c r="J45" s="194"/>
      <c r="K45" s="195"/>
      <c r="L45" s="195"/>
      <c r="M45" s="195"/>
      <c r="N45" s="196"/>
    </row>
    <row r="46" spans="1:14" x14ac:dyDescent="0.35">
      <c r="A46" s="547"/>
      <c r="B46" s="197"/>
      <c r="C46" s="199"/>
      <c r="D46" s="199"/>
      <c r="E46" s="199"/>
      <c r="F46" s="200"/>
      <c r="G46" s="191" t="s">
        <v>13</v>
      </c>
      <c r="H46" s="192" t="s">
        <v>113</v>
      </c>
      <c r="I46" s="193" t="s">
        <v>4</v>
      </c>
      <c r="J46" s="194">
        <f>(3.14*0.45*0.77+3.14*0.225*0.225)*1.2</f>
        <v>1.496367</v>
      </c>
      <c r="K46" s="98"/>
      <c r="L46" s="195">
        <f t="shared" ref="L46:L47" si="1">K46*J46</f>
        <v>0</v>
      </c>
      <c r="M46" s="98"/>
      <c r="N46" s="196" t="s">
        <v>256</v>
      </c>
    </row>
    <row r="47" spans="1:14" x14ac:dyDescent="0.35">
      <c r="A47" s="547"/>
      <c r="B47" s="197"/>
      <c r="C47" s="199"/>
      <c r="D47" s="199"/>
      <c r="E47" s="199"/>
      <c r="F47" s="200"/>
      <c r="G47" s="191"/>
      <c r="H47" s="192" t="s">
        <v>65</v>
      </c>
      <c r="I47" s="193" t="s">
        <v>4</v>
      </c>
      <c r="J47" s="194">
        <f>J46</f>
        <v>1.496367</v>
      </c>
      <c r="K47" s="98"/>
      <c r="L47" s="195">
        <f t="shared" si="1"/>
        <v>0</v>
      </c>
      <c r="M47" s="98"/>
      <c r="N47" s="196"/>
    </row>
    <row r="48" spans="1:14" x14ac:dyDescent="0.35">
      <c r="A48" s="547"/>
      <c r="B48" s="197"/>
      <c r="C48" s="199"/>
      <c r="D48" s="199"/>
      <c r="E48" s="199"/>
      <c r="F48" s="200"/>
      <c r="G48" s="191"/>
      <c r="H48" s="192"/>
      <c r="I48" s="193"/>
      <c r="J48" s="194"/>
      <c r="K48" s="195"/>
      <c r="L48" s="195"/>
      <c r="M48" s="195"/>
      <c r="N48" s="196"/>
    </row>
    <row r="49" spans="1:14" ht="29" x14ac:dyDescent="0.35">
      <c r="A49" s="547"/>
      <c r="B49" s="197"/>
      <c r="C49" s="199"/>
      <c r="D49" s="199"/>
      <c r="E49" s="199"/>
      <c r="F49" s="200"/>
      <c r="G49" s="191" t="s">
        <v>14</v>
      </c>
      <c r="H49" s="192" t="s">
        <v>268</v>
      </c>
      <c r="I49" s="193" t="s">
        <v>4</v>
      </c>
      <c r="J49" s="194">
        <f>0.225*0.225*3.14</f>
        <v>0.15896250000000001</v>
      </c>
      <c r="K49" s="98"/>
      <c r="L49" s="195">
        <f t="shared" ref="L49" si="2">K49*J49</f>
        <v>0</v>
      </c>
      <c r="M49" s="98"/>
      <c r="N49" s="410" t="s">
        <v>346</v>
      </c>
    </row>
    <row r="50" spans="1:14" x14ac:dyDescent="0.35">
      <c r="A50" s="547"/>
      <c r="B50" s="197"/>
      <c r="C50" s="199"/>
      <c r="D50" s="199"/>
      <c r="E50" s="199"/>
      <c r="F50" s="200"/>
      <c r="G50" s="200"/>
      <c r="H50" s="192"/>
      <c r="I50" s="193"/>
      <c r="J50" s="194"/>
      <c r="K50" s="195"/>
      <c r="L50" s="195"/>
      <c r="M50" s="195"/>
      <c r="N50" s="196"/>
    </row>
    <row r="51" spans="1:14" ht="15.5" x14ac:dyDescent="0.35">
      <c r="A51" s="547"/>
      <c r="B51" s="429"/>
      <c r="C51" s="203"/>
      <c r="D51" s="203"/>
      <c r="E51" s="203"/>
      <c r="F51" s="204"/>
      <c r="G51" s="205"/>
      <c r="H51" s="206" t="s">
        <v>211</v>
      </c>
      <c r="I51" s="207"/>
      <c r="J51" s="208"/>
      <c r="K51" s="209"/>
      <c r="L51" s="210">
        <f>SUM(L42:L49)</f>
        <v>0</v>
      </c>
      <c r="M51" s="210">
        <f>SUM(M42:M49)</f>
        <v>0</v>
      </c>
      <c r="N51" s="211"/>
    </row>
    <row r="52" spans="1:14" x14ac:dyDescent="0.35">
      <c r="A52" s="547"/>
      <c r="B52" s="197"/>
      <c r="C52" s="199"/>
      <c r="D52" s="199"/>
      <c r="E52" s="199"/>
      <c r="F52" s="199"/>
      <c r="G52" s="199"/>
      <c r="H52" s="222"/>
      <c r="I52" s="222"/>
      <c r="J52" s="223"/>
      <c r="K52" s="222"/>
      <c r="L52" s="222"/>
      <c r="M52" s="222"/>
      <c r="N52" s="196"/>
    </row>
    <row r="53" spans="1:14" ht="18.5" x14ac:dyDescent="0.35">
      <c r="A53" s="547"/>
      <c r="B53" s="216"/>
      <c r="C53" s="188" t="s">
        <v>10</v>
      </c>
      <c r="D53" s="188" t="s">
        <v>139</v>
      </c>
      <c r="E53" s="433" t="s">
        <v>116</v>
      </c>
      <c r="F53" s="190" t="s">
        <v>260</v>
      </c>
      <c r="G53" s="191" t="s">
        <v>11</v>
      </c>
      <c r="H53" s="192" t="s">
        <v>64</v>
      </c>
      <c r="I53" s="193" t="s">
        <v>4</v>
      </c>
      <c r="J53" s="194">
        <f>3.14*0.6*0.87</f>
        <v>1.6390799999999999</v>
      </c>
      <c r="K53" s="98"/>
      <c r="L53" s="195">
        <f>K53*J53</f>
        <v>0</v>
      </c>
      <c r="M53" s="98"/>
      <c r="N53" s="196" t="s">
        <v>223</v>
      </c>
    </row>
    <row r="54" spans="1:14" ht="18.5" x14ac:dyDescent="0.35">
      <c r="A54" s="547"/>
      <c r="B54" s="197"/>
      <c r="C54" s="198"/>
      <c r="D54" s="198"/>
      <c r="E54" s="199"/>
      <c r="F54" s="200"/>
      <c r="G54" s="191"/>
      <c r="H54" s="192" t="s">
        <v>41</v>
      </c>
      <c r="I54" s="193" t="s">
        <v>4</v>
      </c>
      <c r="J54" s="194">
        <f>3.14*0.3*0.3*4+4*0.1*0.87</f>
        <v>1.4783999999999999</v>
      </c>
      <c r="K54" s="98"/>
      <c r="L54" s="195">
        <f>K54*J54</f>
        <v>0</v>
      </c>
      <c r="M54" s="98"/>
      <c r="N54" s="196"/>
    </row>
    <row r="55" spans="1:14" x14ac:dyDescent="0.35">
      <c r="A55" s="547"/>
      <c r="B55" s="197"/>
      <c r="C55" s="199"/>
      <c r="D55" s="199"/>
      <c r="E55" s="199"/>
      <c r="F55" s="200"/>
      <c r="G55" s="191"/>
      <c r="H55" s="192" t="s">
        <v>111</v>
      </c>
      <c r="I55" s="193" t="s">
        <v>4</v>
      </c>
      <c r="J55" s="194">
        <f>3.14*0.3*0.3</f>
        <v>0.28259999999999996</v>
      </c>
      <c r="K55" s="98"/>
      <c r="L55" s="195">
        <f>K55*J55</f>
        <v>0</v>
      </c>
      <c r="M55" s="98"/>
      <c r="N55" s="196"/>
    </row>
    <row r="56" spans="1:14" x14ac:dyDescent="0.35">
      <c r="A56" s="547"/>
      <c r="B56" s="197"/>
      <c r="C56" s="199"/>
      <c r="D56" s="199"/>
      <c r="E56" s="199"/>
      <c r="F56" s="200"/>
      <c r="G56" s="191"/>
      <c r="H56" s="192"/>
      <c r="I56" s="193"/>
      <c r="J56" s="194"/>
      <c r="K56" s="195"/>
      <c r="L56" s="195"/>
      <c r="M56" s="195"/>
      <c r="N56" s="196"/>
    </row>
    <row r="57" spans="1:14" x14ac:dyDescent="0.35">
      <c r="A57" s="547"/>
      <c r="B57" s="197"/>
      <c r="C57" s="199"/>
      <c r="D57" s="199"/>
      <c r="E57" s="199"/>
      <c r="F57" s="200"/>
      <c r="G57" s="191" t="s">
        <v>13</v>
      </c>
      <c r="H57" s="192" t="s">
        <v>113</v>
      </c>
      <c r="I57" s="193" t="s">
        <v>4</v>
      </c>
      <c r="J57" s="194">
        <f>(3.14*0.6*0.87+3.14*0.3*0.3)*1.2</f>
        <v>2.3060159999999996</v>
      </c>
      <c r="K57" s="98"/>
      <c r="L57" s="195">
        <f>K57*J57</f>
        <v>0</v>
      </c>
      <c r="M57" s="98"/>
      <c r="N57" s="196" t="s">
        <v>256</v>
      </c>
    </row>
    <row r="58" spans="1:14" x14ac:dyDescent="0.35">
      <c r="A58" s="547"/>
      <c r="B58" s="197"/>
      <c r="C58" s="199"/>
      <c r="D58" s="199"/>
      <c r="E58" s="199"/>
      <c r="F58" s="200"/>
      <c r="G58" s="191"/>
      <c r="H58" s="192" t="s">
        <v>65</v>
      </c>
      <c r="I58" s="193" t="s">
        <v>4</v>
      </c>
      <c r="J58" s="194">
        <f>J57</f>
        <v>2.3060159999999996</v>
      </c>
      <c r="K58" s="98"/>
      <c r="L58" s="195">
        <f>K58*J58</f>
        <v>0</v>
      </c>
      <c r="M58" s="98"/>
      <c r="N58" s="196"/>
    </row>
    <row r="59" spans="1:14" x14ac:dyDescent="0.35">
      <c r="A59" s="547"/>
      <c r="B59" s="197"/>
      <c r="C59" s="199"/>
      <c r="D59" s="199"/>
      <c r="E59" s="199"/>
      <c r="F59" s="200"/>
      <c r="G59" s="191"/>
      <c r="H59" s="192"/>
      <c r="I59" s="193"/>
      <c r="J59" s="194"/>
      <c r="K59" s="195"/>
      <c r="L59" s="195"/>
      <c r="M59" s="195"/>
      <c r="N59" s="196"/>
    </row>
    <row r="60" spans="1:14" ht="29" x14ac:dyDescent="0.35">
      <c r="A60" s="547"/>
      <c r="B60" s="197"/>
      <c r="C60" s="199"/>
      <c r="D60" s="199"/>
      <c r="E60" s="199"/>
      <c r="F60" s="200"/>
      <c r="G60" s="191" t="s">
        <v>14</v>
      </c>
      <c r="H60" s="192" t="s">
        <v>269</v>
      </c>
      <c r="I60" s="193" t="s">
        <v>6</v>
      </c>
      <c r="J60" s="194">
        <v>1</v>
      </c>
      <c r="K60" s="98"/>
      <c r="L60" s="195">
        <f>K60*J60</f>
        <v>0</v>
      </c>
      <c r="M60" s="98"/>
      <c r="N60" s="410" t="s">
        <v>346</v>
      </c>
    </row>
    <row r="61" spans="1:14" x14ac:dyDescent="0.35">
      <c r="A61" s="547"/>
      <c r="B61" s="197"/>
      <c r="C61" s="199"/>
      <c r="D61" s="199"/>
      <c r="E61" s="199"/>
      <c r="F61" s="200"/>
      <c r="G61" s="200"/>
      <c r="H61" s="192"/>
      <c r="I61" s="193"/>
      <c r="J61" s="194"/>
      <c r="K61" s="195"/>
      <c r="L61" s="195"/>
      <c r="M61" s="195"/>
      <c r="N61" s="196"/>
    </row>
    <row r="62" spans="1:14" ht="15.5" x14ac:dyDescent="0.35">
      <c r="A62" s="547"/>
      <c r="B62" s="429"/>
      <c r="C62" s="203"/>
      <c r="D62" s="203"/>
      <c r="E62" s="203"/>
      <c r="F62" s="204"/>
      <c r="G62" s="205"/>
      <c r="H62" s="206" t="s">
        <v>211</v>
      </c>
      <c r="I62" s="207"/>
      <c r="J62" s="208"/>
      <c r="K62" s="209"/>
      <c r="L62" s="210">
        <f>SUM(L53:L60)</f>
        <v>0</v>
      </c>
      <c r="M62" s="210">
        <f>SUM(M53:M60)</f>
        <v>0</v>
      </c>
      <c r="N62" s="211"/>
    </row>
    <row r="63" spans="1:14" x14ac:dyDescent="0.35">
      <c r="A63" s="547"/>
      <c r="B63" s="197"/>
      <c r="C63" s="199"/>
      <c r="D63" s="199"/>
      <c r="E63" s="199"/>
      <c r="F63" s="199"/>
      <c r="G63" s="199"/>
      <c r="H63" s="222"/>
      <c r="I63" s="222"/>
      <c r="J63" s="223"/>
      <c r="K63" s="222"/>
      <c r="L63" s="222"/>
      <c r="M63" s="222"/>
      <c r="N63" s="196"/>
    </row>
    <row r="64" spans="1:14" ht="18.5" x14ac:dyDescent="0.35">
      <c r="A64" s="547"/>
      <c r="B64" s="216"/>
      <c r="C64" s="188" t="s">
        <v>10</v>
      </c>
      <c r="D64" s="188" t="s">
        <v>139</v>
      </c>
      <c r="E64" s="433" t="s">
        <v>117</v>
      </c>
      <c r="F64" s="190" t="s">
        <v>260</v>
      </c>
      <c r="G64" s="191" t="s">
        <v>11</v>
      </c>
      <c r="H64" s="192" t="s">
        <v>228</v>
      </c>
      <c r="I64" s="193" t="s">
        <v>4</v>
      </c>
      <c r="J64" s="194">
        <f>3.14*0.6*0.77</f>
        <v>1.45068</v>
      </c>
      <c r="K64" s="98"/>
      <c r="L64" s="195">
        <f>K64*J64</f>
        <v>0</v>
      </c>
      <c r="M64" s="98"/>
      <c r="N64" s="196" t="s">
        <v>223</v>
      </c>
    </row>
    <row r="65" spans="1:14" ht="18.5" x14ac:dyDescent="0.35">
      <c r="A65" s="547"/>
      <c r="B65" s="197"/>
      <c r="C65" s="198"/>
      <c r="D65" s="198"/>
      <c r="E65" s="199"/>
      <c r="F65" s="200"/>
      <c r="G65" s="191"/>
      <c r="H65" s="192" t="s">
        <v>229</v>
      </c>
      <c r="I65" s="193" t="s">
        <v>4</v>
      </c>
      <c r="J65" s="194">
        <f>3.14*0.3*0.3*4+4*0.1*0.77</f>
        <v>1.4383999999999999</v>
      </c>
      <c r="K65" s="98"/>
      <c r="L65" s="195">
        <f>K65*J65</f>
        <v>0</v>
      </c>
      <c r="M65" s="98"/>
      <c r="N65" s="196"/>
    </row>
    <row r="66" spans="1:14" x14ac:dyDescent="0.35">
      <c r="A66" s="547"/>
      <c r="B66" s="197"/>
      <c r="C66" s="199"/>
      <c r="D66" s="199"/>
      <c r="E66" s="199"/>
      <c r="F66" s="200"/>
      <c r="G66" s="191"/>
      <c r="H66" s="192" t="s">
        <v>230</v>
      </c>
      <c r="I66" s="193" t="s">
        <v>4</v>
      </c>
      <c r="J66" s="194">
        <f>3.14*0.3*0.3</f>
        <v>0.28259999999999996</v>
      </c>
      <c r="K66" s="98"/>
      <c r="L66" s="195">
        <f>K66*J66</f>
        <v>0</v>
      </c>
      <c r="M66" s="98"/>
      <c r="N66" s="196"/>
    </row>
    <row r="67" spans="1:14" x14ac:dyDescent="0.35">
      <c r="A67" s="547"/>
      <c r="B67" s="197"/>
      <c r="C67" s="199"/>
      <c r="D67" s="199"/>
      <c r="E67" s="199"/>
      <c r="F67" s="200"/>
      <c r="G67" s="191"/>
      <c r="H67" s="192"/>
      <c r="I67" s="193"/>
      <c r="J67" s="194"/>
      <c r="K67" s="195"/>
      <c r="L67" s="195"/>
      <c r="M67" s="195"/>
      <c r="N67" s="196"/>
    </row>
    <row r="68" spans="1:14" x14ac:dyDescent="0.35">
      <c r="A68" s="547"/>
      <c r="B68" s="197"/>
      <c r="C68" s="199"/>
      <c r="D68" s="199"/>
      <c r="E68" s="199"/>
      <c r="F68" s="200"/>
      <c r="G68" s="191" t="s">
        <v>13</v>
      </c>
      <c r="H68" s="192" t="s">
        <v>113</v>
      </c>
      <c r="I68" s="193" t="s">
        <v>4</v>
      </c>
      <c r="J68" s="194">
        <f>(3.14*0.6*0.77+3.14*0.3*0.3)*1.2</f>
        <v>2.079936</v>
      </c>
      <c r="K68" s="98"/>
      <c r="L68" s="195">
        <f>K68*J68</f>
        <v>0</v>
      </c>
      <c r="M68" s="98"/>
      <c r="N68" s="196" t="s">
        <v>256</v>
      </c>
    </row>
    <row r="69" spans="1:14" x14ac:dyDescent="0.35">
      <c r="A69" s="547"/>
      <c r="B69" s="197"/>
      <c r="C69" s="199"/>
      <c r="D69" s="199"/>
      <c r="E69" s="199"/>
      <c r="F69" s="200"/>
      <c r="G69" s="191"/>
      <c r="H69" s="192" t="s">
        <v>65</v>
      </c>
      <c r="I69" s="193" t="s">
        <v>4</v>
      </c>
      <c r="J69" s="194">
        <f>J68</f>
        <v>2.079936</v>
      </c>
      <c r="K69" s="98"/>
      <c r="L69" s="195">
        <f>K69*J69</f>
        <v>0</v>
      </c>
      <c r="M69" s="98"/>
      <c r="N69" s="196"/>
    </row>
    <row r="70" spans="1:14" x14ac:dyDescent="0.35">
      <c r="A70" s="547"/>
      <c r="B70" s="197"/>
      <c r="C70" s="199"/>
      <c r="D70" s="199"/>
      <c r="E70" s="199"/>
      <c r="F70" s="200"/>
      <c r="G70" s="191"/>
      <c r="H70" s="192"/>
      <c r="I70" s="193"/>
      <c r="J70" s="194"/>
      <c r="K70" s="195"/>
      <c r="L70" s="195"/>
      <c r="M70" s="195"/>
      <c r="N70" s="196"/>
    </row>
    <row r="71" spans="1:14" ht="29" x14ac:dyDescent="0.35">
      <c r="A71" s="547"/>
      <c r="B71" s="197"/>
      <c r="C71" s="199"/>
      <c r="D71" s="199"/>
      <c r="E71" s="199"/>
      <c r="F71" s="200"/>
      <c r="G71" s="191" t="s">
        <v>14</v>
      </c>
      <c r="H71" s="192" t="s">
        <v>266</v>
      </c>
      <c r="I71" s="193" t="s">
        <v>6</v>
      </c>
      <c r="J71" s="194">
        <v>1</v>
      </c>
      <c r="K71" s="98"/>
      <c r="L71" s="195">
        <f>K71*J71</f>
        <v>0</v>
      </c>
      <c r="M71" s="98"/>
      <c r="N71" s="410" t="s">
        <v>346</v>
      </c>
    </row>
    <row r="72" spans="1:14" x14ac:dyDescent="0.35">
      <c r="A72" s="547"/>
      <c r="B72" s="197"/>
      <c r="C72" s="199"/>
      <c r="D72" s="199"/>
      <c r="E72" s="199"/>
      <c r="F72" s="200"/>
      <c r="G72" s="200"/>
      <c r="H72" s="192"/>
      <c r="I72" s="193"/>
      <c r="J72" s="194"/>
      <c r="K72" s="195"/>
      <c r="L72" s="195"/>
      <c r="M72" s="195"/>
      <c r="N72" s="196"/>
    </row>
    <row r="73" spans="1:14" ht="15.5" x14ac:dyDescent="0.35">
      <c r="A73" s="547"/>
      <c r="B73" s="429"/>
      <c r="C73" s="203"/>
      <c r="D73" s="203"/>
      <c r="E73" s="203"/>
      <c r="F73" s="204"/>
      <c r="G73" s="205"/>
      <c r="H73" s="206" t="s">
        <v>211</v>
      </c>
      <c r="I73" s="207"/>
      <c r="J73" s="208"/>
      <c r="K73" s="209"/>
      <c r="L73" s="210">
        <f>SUM(L64:L71)</f>
        <v>0</v>
      </c>
      <c r="M73" s="210">
        <f>SUM(M64:M71)</f>
        <v>0</v>
      </c>
      <c r="N73" s="211"/>
    </row>
    <row r="74" spans="1:14" x14ac:dyDescent="0.35">
      <c r="A74" s="547"/>
      <c r="B74" s="197"/>
      <c r="C74" s="199"/>
      <c r="D74" s="199"/>
      <c r="E74" s="199"/>
      <c r="F74" s="199"/>
      <c r="G74" s="199"/>
      <c r="H74" s="222"/>
      <c r="I74" s="222"/>
      <c r="J74" s="223"/>
      <c r="K74" s="222"/>
      <c r="L74" s="222"/>
      <c r="M74" s="222"/>
      <c r="N74" s="196"/>
    </row>
    <row r="75" spans="1:14" ht="18.5" x14ac:dyDescent="0.35">
      <c r="A75" s="547"/>
      <c r="B75" s="216"/>
      <c r="C75" s="188" t="s">
        <v>10</v>
      </c>
      <c r="D75" s="188" t="s">
        <v>139</v>
      </c>
      <c r="E75" s="433" t="s">
        <v>118</v>
      </c>
      <c r="F75" s="190" t="s">
        <v>300</v>
      </c>
      <c r="G75" s="191" t="s">
        <v>301</v>
      </c>
      <c r="H75" s="192" t="s">
        <v>228</v>
      </c>
      <c r="I75" s="193" t="s">
        <v>4</v>
      </c>
      <c r="J75" s="194">
        <f>3.14*0.45*0.77</f>
        <v>1.0880100000000001</v>
      </c>
      <c r="K75" s="98"/>
      <c r="L75" s="195">
        <f>K75*J75</f>
        <v>0</v>
      </c>
      <c r="M75" s="98"/>
      <c r="N75" s="196" t="s">
        <v>223</v>
      </c>
    </row>
    <row r="76" spans="1:14" ht="18.5" x14ac:dyDescent="0.35">
      <c r="A76" s="547"/>
      <c r="B76" s="197"/>
      <c r="C76" s="198"/>
      <c r="D76" s="198"/>
      <c r="E76" s="199"/>
      <c r="F76" s="200"/>
      <c r="G76" s="191"/>
      <c r="H76" s="192" t="s">
        <v>229</v>
      </c>
      <c r="I76" s="193" t="s">
        <v>4</v>
      </c>
      <c r="J76" s="194">
        <f>3.14*0.225*0.225*4+4*0.1*0.77</f>
        <v>0.94385000000000008</v>
      </c>
      <c r="K76" s="98"/>
      <c r="L76" s="195">
        <f>K76*J76</f>
        <v>0</v>
      </c>
      <c r="M76" s="98"/>
      <c r="N76" s="196"/>
    </row>
    <row r="77" spans="1:14" x14ac:dyDescent="0.35">
      <c r="A77" s="547"/>
      <c r="B77" s="197"/>
      <c r="C77" s="199"/>
      <c r="D77" s="199"/>
      <c r="E77" s="199"/>
      <c r="F77" s="200"/>
      <c r="G77" s="191"/>
      <c r="H77" s="192" t="s">
        <v>230</v>
      </c>
      <c r="I77" s="193" t="s">
        <v>4</v>
      </c>
      <c r="J77" s="194">
        <f>3.14*0.225*0.225</f>
        <v>0.15896250000000001</v>
      </c>
      <c r="K77" s="98"/>
      <c r="L77" s="195">
        <f>K77*J77</f>
        <v>0</v>
      </c>
      <c r="M77" s="98"/>
      <c r="N77" s="196"/>
    </row>
    <row r="78" spans="1:14" x14ac:dyDescent="0.35">
      <c r="A78" s="547"/>
      <c r="B78" s="197"/>
      <c r="C78" s="199"/>
      <c r="D78" s="199"/>
      <c r="E78" s="199"/>
      <c r="F78" s="200"/>
      <c r="G78" s="191"/>
      <c r="H78" s="192"/>
      <c r="I78" s="193"/>
      <c r="J78" s="194"/>
      <c r="K78" s="195"/>
      <c r="L78" s="195"/>
      <c r="M78" s="195"/>
      <c r="N78" s="196"/>
    </row>
    <row r="79" spans="1:14" x14ac:dyDescent="0.35">
      <c r="A79" s="547"/>
      <c r="B79" s="197"/>
      <c r="C79" s="199"/>
      <c r="D79" s="199"/>
      <c r="E79" s="199"/>
      <c r="F79" s="200"/>
      <c r="G79" s="191" t="s">
        <v>302</v>
      </c>
      <c r="H79" s="192" t="s">
        <v>113</v>
      </c>
      <c r="I79" s="193" t="s">
        <v>4</v>
      </c>
      <c r="J79" s="194">
        <f>(3.14*0.45*0.77+3.14*0.225*0.225)*1.2</f>
        <v>1.496367</v>
      </c>
      <c r="K79" s="98"/>
      <c r="L79" s="195">
        <f>K79*J79</f>
        <v>0</v>
      </c>
      <c r="M79" s="98"/>
      <c r="N79" s="196" t="s">
        <v>256</v>
      </c>
    </row>
    <row r="80" spans="1:14" x14ac:dyDescent="0.35">
      <c r="A80" s="547"/>
      <c r="B80" s="197"/>
      <c r="C80" s="199"/>
      <c r="D80" s="199"/>
      <c r="E80" s="199"/>
      <c r="F80" s="200"/>
      <c r="G80" s="191"/>
      <c r="H80" s="192" t="s">
        <v>65</v>
      </c>
      <c r="I80" s="193" t="s">
        <v>4</v>
      </c>
      <c r="J80" s="194">
        <f>J79</f>
        <v>1.496367</v>
      </c>
      <c r="K80" s="98"/>
      <c r="L80" s="195">
        <f>K80*J80</f>
        <v>0</v>
      </c>
      <c r="M80" s="98"/>
      <c r="N80" s="196"/>
    </row>
    <row r="81" spans="1:14" x14ac:dyDescent="0.35">
      <c r="A81" s="547"/>
      <c r="B81" s="197"/>
      <c r="C81" s="199"/>
      <c r="D81" s="199"/>
      <c r="E81" s="199"/>
      <c r="F81" s="200"/>
      <c r="G81" s="191"/>
      <c r="H81" s="192"/>
      <c r="I81" s="193"/>
      <c r="J81" s="194"/>
      <c r="K81" s="195"/>
      <c r="L81" s="195"/>
      <c r="M81" s="195"/>
      <c r="N81" s="196"/>
    </row>
    <row r="82" spans="1:14" ht="29" x14ac:dyDescent="0.35">
      <c r="A82" s="547"/>
      <c r="B82" s="197"/>
      <c r="C82" s="199"/>
      <c r="D82" s="199"/>
      <c r="E82" s="199"/>
      <c r="F82" s="200"/>
      <c r="G82" s="191" t="s">
        <v>303</v>
      </c>
      <c r="H82" s="192" t="s">
        <v>270</v>
      </c>
      <c r="I82" s="193" t="s">
        <v>6</v>
      </c>
      <c r="J82" s="194">
        <v>1</v>
      </c>
      <c r="K82" s="98"/>
      <c r="L82" s="195">
        <f>K82*J82</f>
        <v>0</v>
      </c>
      <c r="M82" s="98"/>
      <c r="N82" s="410" t="s">
        <v>346</v>
      </c>
    </row>
    <row r="83" spans="1:14" x14ac:dyDescent="0.35">
      <c r="A83" s="547"/>
      <c r="B83" s="197"/>
      <c r="C83" s="199"/>
      <c r="D83" s="199"/>
      <c r="E83" s="199"/>
      <c r="F83" s="200"/>
      <c r="G83" s="200"/>
      <c r="H83" s="192"/>
      <c r="I83" s="193"/>
      <c r="J83" s="194"/>
      <c r="K83" s="195"/>
      <c r="L83" s="195"/>
      <c r="M83" s="195"/>
      <c r="N83" s="196"/>
    </row>
    <row r="84" spans="1:14" ht="15.5" x14ac:dyDescent="0.35">
      <c r="A84" s="547"/>
      <c r="B84" s="197"/>
      <c r="C84" s="199"/>
      <c r="D84" s="199"/>
      <c r="E84" s="199"/>
      <c r="F84" s="200"/>
      <c r="G84" s="200"/>
      <c r="H84" s="430" t="s">
        <v>235</v>
      </c>
      <c r="I84" s="193"/>
      <c r="J84" s="194"/>
      <c r="K84" s="195"/>
      <c r="L84" s="448">
        <f>SUM(L75:L82)</f>
        <v>0</v>
      </c>
      <c r="M84" s="448">
        <f>SUM(M75:M82)</f>
        <v>0</v>
      </c>
      <c r="N84" s="196"/>
    </row>
    <row r="85" spans="1:14" ht="15.5" x14ac:dyDescent="0.35">
      <c r="A85" s="547"/>
      <c r="B85" s="429"/>
      <c r="C85" s="203"/>
      <c r="D85" s="203"/>
      <c r="E85" s="203"/>
      <c r="F85" s="204"/>
      <c r="G85" s="205"/>
      <c r="H85" s="449" t="s">
        <v>237</v>
      </c>
      <c r="I85" s="207"/>
      <c r="J85" s="208"/>
      <c r="K85" s="209"/>
      <c r="L85" s="210">
        <f>L84*2</f>
        <v>0</v>
      </c>
      <c r="M85" s="210">
        <f>M84*2</f>
        <v>0</v>
      </c>
      <c r="N85" s="211"/>
    </row>
    <row r="86" spans="1:14" x14ac:dyDescent="0.35">
      <c r="A86" s="547"/>
      <c r="B86" s="197"/>
      <c r="C86" s="199"/>
      <c r="D86" s="199"/>
      <c r="E86" s="199"/>
      <c r="F86" s="199"/>
      <c r="G86" s="199"/>
      <c r="H86" s="222"/>
      <c r="I86" s="222"/>
      <c r="J86" s="223"/>
      <c r="K86" s="222"/>
      <c r="L86" s="222"/>
      <c r="M86" s="222"/>
      <c r="N86" s="196"/>
    </row>
    <row r="87" spans="1:14" ht="43.5" x14ac:dyDescent="0.35">
      <c r="A87" s="547"/>
      <c r="B87" s="216"/>
      <c r="C87" s="188" t="s">
        <v>10</v>
      </c>
      <c r="D87" s="188" t="s">
        <v>139</v>
      </c>
      <c r="E87" s="434" t="s">
        <v>335</v>
      </c>
      <c r="F87" s="190" t="s">
        <v>220</v>
      </c>
      <c r="G87" s="191" t="s">
        <v>120</v>
      </c>
      <c r="H87" s="192" t="s">
        <v>219</v>
      </c>
      <c r="I87" s="193" t="s">
        <v>6</v>
      </c>
      <c r="J87" s="194">
        <v>3</v>
      </c>
      <c r="K87" s="98"/>
      <c r="L87" s="195">
        <f>K87*J87</f>
        <v>0</v>
      </c>
      <c r="M87" s="98"/>
      <c r="N87" s="410" t="s">
        <v>342</v>
      </c>
    </row>
    <row r="88" spans="1:14" ht="18.5" x14ac:dyDescent="0.35">
      <c r="A88" s="547"/>
      <c r="B88" s="197"/>
      <c r="C88" s="198"/>
      <c r="D88" s="198"/>
      <c r="E88" s="199"/>
      <c r="F88" s="200"/>
      <c r="G88" s="191"/>
      <c r="H88" s="192"/>
      <c r="I88" s="193"/>
      <c r="J88" s="194"/>
      <c r="K88" s="195"/>
      <c r="L88" s="195"/>
      <c r="M88" s="195"/>
      <c r="N88" s="196"/>
    </row>
    <row r="89" spans="1:14" ht="15.5" x14ac:dyDescent="0.35">
      <c r="A89" s="547"/>
      <c r="B89" s="197"/>
      <c r="C89" s="199"/>
      <c r="D89" s="199"/>
      <c r="E89" s="199"/>
      <c r="F89" s="190" t="s">
        <v>221</v>
      </c>
      <c r="G89" s="191" t="s">
        <v>120</v>
      </c>
      <c r="H89" s="192" t="s">
        <v>219</v>
      </c>
      <c r="I89" s="193" t="s">
        <v>6</v>
      </c>
      <c r="J89" s="194">
        <v>7</v>
      </c>
      <c r="K89" s="98"/>
      <c r="L89" s="195">
        <f>K89*J89</f>
        <v>0</v>
      </c>
      <c r="M89" s="98"/>
      <c r="N89" s="196"/>
    </row>
    <row r="90" spans="1:14" x14ac:dyDescent="0.35">
      <c r="A90" s="547"/>
      <c r="B90" s="197"/>
      <c r="C90" s="199"/>
      <c r="D90" s="199"/>
      <c r="E90" s="199"/>
      <c r="F90" s="200"/>
      <c r="G90" s="191"/>
      <c r="H90" s="192"/>
      <c r="I90" s="193"/>
      <c r="J90" s="194"/>
      <c r="K90" s="195"/>
      <c r="L90" s="195"/>
      <c r="M90" s="195"/>
      <c r="N90" s="196"/>
    </row>
    <row r="91" spans="1:14" ht="15.5" x14ac:dyDescent="0.35">
      <c r="A91" s="547"/>
      <c r="B91" s="197"/>
      <c r="C91" s="199"/>
      <c r="D91" s="199"/>
      <c r="E91" s="199"/>
      <c r="F91" s="190" t="s">
        <v>222</v>
      </c>
      <c r="G91" s="191" t="s">
        <v>120</v>
      </c>
      <c r="H91" s="192" t="s">
        <v>219</v>
      </c>
      <c r="I91" s="193" t="s">
        <v>6</v>
      </c>
      <c r="J91" s="194">
        <v>1</v>
      </c>
      <c r="K91" s="98"/>
      <c r="L91" s="195">
        <f>K91*J91</f>
        <v>0</v>
      </c>
      <c r="M91" s="98"/>
      <c r="N91" s="196"/>
    </row>
    <row r="92" spans="1:14" x14ac:dyDescent="0.35">
      <c r="A92" s="547"/>
      <c r="B92" s="197"/>
      <c r="C92" s="199"/>
      <c r="D92" s="199"/>
      <c r="E92" s="199"/>
      <c r="F92" s="200"/>
      <c r="G92" s="200"/>
      <c r="H92" s="192"/>
      <c r="I92" s="193"/>
      <c r="J92" s="194"/>
      <c r="K92" s="195"/>
      <c r="L92" s="195"/>
      <c r="M92" s="195"/>
      <c r="N92" s="196"/>
    </row>
    <row r="93" spans="1:14" ht="15.5" x14ac:dyDescent="0.35">
      <c r="A93" s="547"/>
      <c r="B93" s="429"/>
      <c r="C93" s="203"/>
      <c r="D93" s="203"/>
      <c r="E93" s="203"/>
      <c r="F93" s="204"/>
      <c r="G93" s="205"/>
      <c r="H93" s="206" t="s">
        <v>211</v>
      </c>
      <c r="I93" s="207"/>
      <c r="J93" s="208"/>
      <c r="K93" s="209"/>
      <c r="L93" s="210">
        <f>SUM(L87:L91)</f>
        <v>0</v>
      </c>
      <c r="M93" s="210">
        <f>SUM(M87:M91)</f>
        <v>0</v>
      </c>
      <c r="N93" s="211"/>
    </row>
    <row r="94" spans="1:14" ht="15.5" x14ac:dyDescent="0.35">
      <c r="A94" s="547"/>
      <c r="B94" s="197"/>
      <c r="C94" s="199"/>
      <c r="D94" s="199"/>
      <c r="E94" s="199"/>
      <c r="F94" s="411"/>
      <c r="G94" s="412"/>
      <c r="H94" s="430"/>
      <c r="I94" s="413"/>
      <c r="J94" s="414"/>
      <c r="K94" s="415"/>
      <c r="L94" s="431"/>
      <c r="M94" s="431"/>
      <c r="N94" s="196"/>
    </row>
    <row r="95" spans="1:14" ht="29" x14ac:dyDescent="0.35">
      <c r="A95" s="547"/>
      <c r="B95" s="216"/>
      <c r="C95" s="188" t="s">
        <v>10</v>
      </c>
      <c r="D95" s="188" t="s">
        <v>139</v>
      </c>
      <c r="E95" s="433" t="s">
        <v>125</v>
      </c>
      <c r="F95" s="190" t="s">
        <v>233</v>
      </c>
      <c r="G95" s="191" t="s">
        <v>120</v>
      </c>
      <c r="H95" s="192" t="s">
        <v>312</v>
      </c>
      <c r="I95" s="193" t="s">
        <v>6</v>
      </c>
      <c r="J95" s="194">
        <v>5</v>
      </c>
      <c r="K95" s="98"/>
      <c r="L95" s="195">
        <f>K95*J95</f>
        <v>0</v>
      </c>
      <c r="M95" s="98"/>
      <c r="N95" s="410" t="s">
        <v>346</v>
      </c>
    </row>
    <row r="96" spans="1:14" x14ac:dyDescent="0.35">
      <c r="A96" s="547"/>
      <c r="B96" s="197"/>
      <c r="C96" s="199"/>
      <c r="D96" s="199"/>
      <c r="E96" s="199"/>
      <c r="F96" s="200"/>
      <c r="G96" s="200"/>
      <c r="H96" s="192"/>
      <c r="I96" s="193"/>
      <c r="J96" s="194"/>
      <c r="K96" s="195"/>
      <c r="L96" s="195"/>
      <c r="M96" s="195"/>
      <c r="N96" s="196"/>
    </row>
    <row r="97" spans="1:14" ht="15.5" x14ac:dyDescent="0.35">
      <c r="A97" s="547"/>
      <c r="B97" s="429"/>
      <c r="C97" s="203"/>
      <c r="D97" s="203"/>
      <c r="E97" s="203"/>
      <c r="F97" s="204"/>
      <c r="G97" s="205"/>
      <c r="H97" s="206" t="s">
        <v>211</v>
      </c>
      <c r="I97" s="207"/>
      <c r="J97" s="208"/>
      <c r="K97" s="209"/>
      <c r="L97" s="210">
        <f>SUM(L95:L95)</f>
        <v>0</v>
      </c>
      <c r="M97" s="210">
        <f>SUM(M95:M95)</f>
        <v>0</v>
      </c>
      <c r="N97" s="211"/>
    </row>
    <row r="98" spans="1:14" ht="15.5" x14ac:dyDescent="0.35">
      <c r="A98" s="547"/>
      <c r="B98" s="197"/>
      <c r="C98" s="199"/>
      <c r="D98" s="199"/>
      <c r="E98" s="199"/>
      <c r="F98" s="411"/>
      <c r="G98" s="412"/>
      <c r="H98" s="430"/>
      <c r="I98" s="413"/>
      <c r="J98" s="414"/>
      <c r="K98" s="415"/>
      <c r="L98" s="431"/>
      <c r="M98" s="431"/>
      <c r="N98" s="196"/>
    </row>
    <row r="99" spans="1:14" ht="18.5" x14ac:dyDescent="0.35">
      <c r="A99" s="547"/>
      <c r="B99" s="216"/>
      <c r="C99" s="188" t="s">
        <v>10</v>
      </c>
      <c r="D99" s="188" t="s">
        <v>140</v>
      </c>
      <c r="E99" s="189"/>
      <c r="F99" s="190" t="s">
        <v>123</v>
      </c>
      <c r="G99" s="191" t="s">
        <v>11</v>
      </c>
      <c r="H99" s="192" t="s">
        <v>226</v>
      </c>
      <c r="I99" s="193" t="s">
        <v>4</v>
      </c>
      <c r="J99" s="194">
        <f>2.1*4+2.1*2*0.07+2*0.05*4</f>
        <v>9.0940000000000012</v>
      </c>
      <c r="K99" s="98"/>
      <c r="L99" s="195">
        <f>K99*J99</f>
        <v>0</v>
      </c>
      <c r="M99" s="98"/>
      <c r="N99" s="196" t="s">
        <v>292</v>
      </c>
    </row>
    <row r="100" spans="1:14" ht="18.5" x14ac:dyDescent="0.35">
      <c r="A100" s="547"/>
      <c r="B100" s="197"/>
      <c r="C100" s="198"/>
      <c r="D100" s="198"/>
      <c r="E100" s="199"/>
      <c r="F100" s="200"/>
      <c r="G100" s="191"/>
      <c r="H100" s="192"/>
      <c r="I100" s="193"/>
      <c r="J100" s="194"/>
      <c r="K100" s="201"/>
      <c r="L100" s="195"/>
      <c r="M100" s="195"/>
      <c r="N100" s="196"/>
    </row>
    <row r="101" spans="1:14" x14ac:dyDescent="0.35">
      <c r="A101" s="547"/>
      <c r="B101" s="197"/>
      <c r="C101" s="199"/>
      <c r="D101" s="199"/>
      <c r="E101" s="199"/>
      <c r="F101" s="200"/>
      <c r="G101" s="191" t="s">
        <v>12</v>
      </c>
      <c r="H101" s="192" t="s">
        <v>284</v>
      </c>
      <c r="I101" s="193" t="s">
        <v>5</v>
      </c>
      <c r="J101" s="194">
        <f>4*2.1+2*4</f>
        <v>16.399999999999999</v>
      </c>
      <c r="K101" s="100"/>
      <c r="L101" s="195">
        <f>K101*J101</f>
        <v>0</v>
      </c>
      <c r="M101" s="98"/>
      <c r="N101" s="196" t="s">
        <v>144</v>
      </c>
    </row>
    <row r="102" spans="1:14" x14ac:dyDescent="0.35">
      <c r="A102" s="547"/>
      <c r="B102" s="197"/>
      <c r="C102" s="199"/>
      <c r="D102" s="199"/>
      <c r="E102" s="199"/>
      <c r="F102" s="200"/>
      <c r="G102" s="191"/>
      <c r="H102" s="192"/>
      <c r="I102" s="193"/>
      <c r="J102" s="194"/>
      <c r="K102" s="195"/>
      <c r="L102" s="195"/>
      <c r="M102" s="195"/>
      <c r="N102" s="196"/>
    </row>
    <row r="103" spans="1:14" x14ac:dyDescent="0.35">
      <c r="A103" s="547"/>
      <c r="B103" s="197"/>
      <c r="C103" s="199"/>
      <c r="D103" s="199"/>
      <c r="E103" s="199"/>
      <c r="F103" s="200"/>
      <c r="G103" s="191" t="s">
        <v>13</v>
      </c>
      <c r="H103" s="192" t="s">
        <v>114</v>
      </c>
      <c r="I103" s="193" t="s">
        <v>4</v>
      </c>
      <c r="J103" s="194">
        <f>2*2.1*(0.07+0.05)+4*0.05*2</f>
        <v>0.90400000000000014</v>
      </c>
      <c r="K103" s="98"/>
      <c r="L103" s="195">
        <f>K103*J103</f>
        <v>0</v>
      </c>
      <c r="M103" s="98"/>
      <c r="N103" s="196" t="s">
        <v>256</v>
      </c>
    </row>
    <row r="104" spans="1:14" x14ac:dyDescent="0.35">
      <c r="A104" s="547"/>
      <c r="B104" s="197"/>
      <c r="C104" s="199"/>
      <c r="D104" s="199"/>
      <c r="E104" s="199"/>
      <c r="F104" s="200"/>
      <c r="G104" s="191"/>
      <c r="H104" s="192" t="s">
        <v>65</v>
      </c>
      <c r="I104" s="193" t="s">
        <v>4</v>
      </c>
      <c r="J104" s="194">
        <f>2.1*4+2.1*2*0.07</f>
        <v>8.6940000000000008</v>
      </c>
      <c r="K104" s="98"/>
      <c r="L104" s="195">
        <f>K104*J104</f>
        <v>0</v>
      </c>
      <c r="M104" s="98"/>
      <c r="N104" s="196"/>
    </row>
    <row r="105" spans="1:14" x14ac:dyDescent="0.35">
      <c r="A105" s="547"/>
      <c r="B105" s="197"/>
      <c r="C105" s="199"/>
      <c r="D105" s="199"/>
      <c r="E105" s="199"/>
      <c r="F105" s="200"/>
      <c r="G105" s="191"/>
      <c r="H105" s="192"/>
      <c r="I105" s="193"/>
      <c r="J105" s="194"/>
      <c r="K105" s="195"/>
      <c r="L105" s="195"/>
      <c r="M105" s="195"/>
      <c r="N105" s="196"/>
    </row>
    <row r="106" spans="1:14" x14ac:dyDescent="0.35">
      <c r="A106" s="547"/>
      <c r="B106" s="197"/>
      <c r="C106" s="199"/>
      <c r="D106" s="199"/>
      <c r="E106" s="199"/>
      <c r="F106" s="200"/>
      <c r="G106" s="200" t="s">
        <v>17</v>
      </c>
      <c r="H106" s="192" t="s">
        <v>227</v>
      </c>
      <c r="I106" s="193" t="s">
        <v>6</v>
      </c>
      <c r="J106" s="194">
        <v>4</v>
      </c>
      <c r="K106" s="98"/>
      <c r="L106" s="195">
        <f>K106*J106</f>
        <v>0</v>
      </c>
      <c r="M106" s="98"/>
      <c r="N106" s="196"/>
    </row>
    <row r="107" spans="1:14" x14ac:dyDescent="0.35">
      <c r="A107" s="547"/>
      <c r="B107" s="197"/>
      <c r="C107" s="199"/>
      <c r="D107" s="199"/>
      <c r="E107" s="199"/>
      <c r="F107" s="200"/>
      <c r="G107" s="200"/>
      <c r="H107" s="192" t="s">
        <v>265</v>
      </c>
      <c r="I107" s="193" t="s">
        <v>5</v>
      </c>
      <c r="J107" s="194">
        <v>4</v>
      </c>
      <c r="K107" s="98"/>
      <c r="L107" s="195">
        <f>K107*J107</f>
        <v>0</v>
      </c>
      <c r="M107" s="98"/>
      <c r="N107" s="196"/>
    </row>
    <row r="108" spans="1:14" x14ac:dyDescent="0.35">
      <c r="A108" s="547"/>
      <c r="B108" s="197"/>
      <c r="C108" s="199"/>
      <c r="D108" s="199"/>
      <c r="E108" s="199"/>
      <c r="F108" s="200"/>
      <c r="G108" s="200"/>
      <c r="H108" s="192"/>
      <c r="I108" s="193"/>
      <c r="J108" s="194"/>
      <c r="K108" s="195"/>
      <c r="L108" s="195"/>
      <c r="M108" s="195"/>
      <c r="N108" s="196"/>
    </row>
    <row r="109" spans="1:14" ht="15.5" x14ac:dyDescent="0.35">
      <c r="A109" s="547"/>
      <c r="B109" s="429"/>
      <c r="C109" s="203"/>
      <c r="D109" s="203"/>
      <c r="E109" s="203"/>
      <c r="F109" s="204"/>
      <c r="G109" s="205"/>
      <c r="H109" s="206" t="s">
        <v>211</v>
      </c>
      <c r="I109" s="207"/>
      <c r="J109" s="208"/>
      <c r="K109" s="209"/>
      <c r="L109" s="210">
        <f>SUM(L99:L107)</f>
        <v>0</v>
      </c>
      <c r="M109" s="210">
        <f>SUM(M99:M107)</f>
        <v>0</v>
      </c>
      <c r="N109" s="211"/>
    </row>
    <row r="110" spans="1:14" ht="15" thickBot="1" x14ac:dyDescent="0.4">
      <c r="A110" s="547"/>
      <c r="B110" s="197"/>
      <c r="C110" s="199"/>
      <c r="D110" s="199"/>
      <c r="E110" s="199"/>
      <c r="F110" s="199"/>
      <c r="G110" s="199"/>
      <c r="H110" s="222"/>
      <c r="I110" s="222"/>
      <c r="J110" s="223"/>
      <c r="K110" s="222"/>
      <c r="L110" s="222"/>
      <c r="M110" s="222"/>
      <c r="N110" s="196"/>
    </row>
    <row r="111" spans="1:14" ht="19" thickBot="1" x14ac:dyDescent="0.4">
      <c r="A111" s="547"/>
      <c r="B111" s="526" t="s">
        <v>18</v>
      </c>
      <c r="C111" s="527"/>
      <c r="D111" s="527"/>
      <c r="E111" s="527"/>
      <c r="F111" s="527"/>
      <c r="G111" s="224"/>
      <c r="H111" s="224" t="s">
        <v>211</v>
      </c>
      <c r="I111" s="225"/>
      <c r="J111" s="226"/>
      <c r="K111" s="227"/>
      <c r="L111" s="228">
        <f>L109+L97+L93+L85+L73+L62+L51+L40+L29+L24</f>
        <v>0</v>
      </c>
      <c r="M111" s="229">
        <f>M109+M97+M93+M85+M73+M62+M51+M40+M29+M24</f>
        <v>0</v>
      </c>
      <c r="N111" s="196"/>
    </row>
    <row r="112" spans="1:14" ht="19" thickBot="1" x14ac:dyDescent="0.4">
      <c r="A112" s="548"/>
      <c r="B112" s="230"/>
      <c r="C112" s="231"/>
      <c r="D112" s="231"/>
      <c r="E112" s="232"/>
      <c r="F112" s="233"/>
      <c r="G112" s="233"/>
      <c r="H112" s="234"/>
      <c r="I112" s="235"/>
      <c r="J112" s="236"/>
      <c r="K112" s="237"/>
      <c r="L112" s="238"/>
      <c r="M112" s="239"/>
      <c r="N112" s="240"/>
    </row>
    <row r="113" spans="1:14" ht="18.5" x14ac:dyDescent="0.35">
      <c r="A113" s="538" t="s">
        <v>20</v>
      </c>
      <c r="B113" s="197"/>
      <c r="C113" s="198"/>
      <c r="D113" s="198"/>
      <c r="E113" s="199"/>
      <c r="F113" s="200"/>
      <c r="G113" s="200"/>
      <c r="H113" s="222"/>
      <c r="I113" s="193"/>
      <c r="J113" s="194"/>
      <c r="K113" s="195"/>
      <c r="L113" s="195"/>
      <c r="M113" s="195"/>
      <c r="N113" s="186"/>
    </row>
    <row r="114" spans="1:14" ht="18.5" x14ac:dyDescent="0.35">
      <c r="A114" s="539"/>
      <c r="B114" s="216"/>
      <c r="C114" s="188" t="s">
        <v>19</v>
      </c>
      <c r="D114" s="188" t="s">
        <v>137</v>
      </c>
      <c r="E114" s="189"/>
      <c r="F114" s="190" t="s">
        <v>124</v>
      </c>
      <c r="G114" s="191"/>
      <c r="H114" s="192" t="s">
        <v>22</v>
      </c>
      <c r="I114" s="193" t="s">
        <v>4</v>
      </c>
      <c r="J114" s="194">
        <v>2</v>
      </c>
      <c r="K114" s="98"/>
      <c r="L114" s="195">
        <f>K114*J114</f>
        <v>0</v>
      </c>
      <c r="M114" s="98"/>
      <c r="N114" s="196"/>
    </row>
    <row r="115" spans="1:14" x14ac:dyDescent="0.35">
      <c r="A115" s="539"/>
      <c r="B115" s="197"/>
      <c r="C115" s="199"/>
      <c r="D115" s="199"/>
      <c r="E115" s="199"/>
      <c r="F115" s="200"/>
      <c r="G115" s="200"/>
      <c r="H115" s="192"/>
      <c r="I115" s="193"/>
      <c r="J115" s="194"/>
      <c r="K115" s="195"/>
      <c r="L115" s="195"/>
      <c r="M115" s="195"/>
      <c r="N115" s="196"/>
    </row>
    <row r="116" spans="1:14" ht="15.5" x14ac:dyDescent="0.35">
      <c r="A116" s="539"/>
      <c r="B116" s="429"/>
      <c r="C116" s="203"/>
      <c r="D116" s="203"/>
      <c r="E116" s="203"/>
      <c r="F116" s="204"/>
      <c r="G116" s="205"/>
      <c r="H116" s="206" t="s">
        <v>211</v>
      </c>
      <c r="I116" s="207"/>
      <c r="J116" s="208"/>
      <c r="K116" s="209"/>
      <c r="L116" s="210">
        <f>SUM(L114:L114)</f>
        <v>0</v>
      </c>
      <c r="M116" s="210">
        <f>SUM(M114:M114)</f>
        <v>0</v>
      </c>
      <c r="N116" s="211"/>
    </row>
    <row r="117" spans="1:14" ht="15.5" x14ac:dyDescent="0.35">
      <c r="A117" s="539"/>
      <c r="B117" s="197"/>
      <c r="C117" s="199"/>
      <c r="D117" s="199"/>
      <c r="E117" s="199"/>
      <c r="F117" s="411"/>
      <c r="G117" s="412"/>
      <c r="H117" s="430"/>
      <c r="I117" s="413"/>
      <c r="J117" s="414"/>
      <c r="K117" s="450"/>
      <c r="L117" s="431"/>
      <c r="M117" s="431"/>
      <c r="N117" s="263"/>
    </row>
    <row r="118" spans="1:14" ht="18.5" x14ac:dyDescent="0.35">
      <c r="A118" s="539"/>
      <c r="B118" s="216"/>
      <c r="C118" s="188" t="s">
        <v>19</v>
      </c>
      <c r="D118" s="188" t="s">
        <v>138</v>
      </c>
      <c r="E118" s="189"/>
      <c r="F118" s="190" t="s">
        <v>142</v>
      </c>
      <c r="G118" s="191"/>
      <c r="H118" s="192" t="s">
        <v>22</v>
      </c>
      <c r="I118" s="193" t="s">
        <v>4</v>
      </c>
      <c r="J118" s="194">
        <f>3.14*((0.15*0.15)*16+(0.225*0.225)*3+(0.3*0.3)*3)</f>
        <v>2.4550874999999999</v>
      </c>
      <c r="K118" s="98"/>
      <c r="L118" s="195">
        <f>K118*J118</f>
        <v>0</v>
      </c>
      <c r="M118" s="98"/>
      <c r="N118" s="196"/>
    </row>
    <row r="119" spans="1:14" x14ac:dyDescent="0.35">
      <c r="A119" s="539"/>
      <c r="B119" s="197"/>
      <c r="C119" s="199"/>
      <c r="D119" s="199"/>
      <c r="E119" s="199"/>
      <c r="F119" s="200"/>
      <c r="G119" s="200"/>
      <c r="H119" s="192"/>
      <c r="I119" s="193"/>
      <c r="J119" s="194"/>
      <c r="K119" s="195"/>
      <c r="L119" s="195"/>
      <c r="M119" s="195"/>
      <c r="N119" s="196"/>
    </row>
    <row r="120" spans="1:14" ht="15.5" x14ac:dyDescent="0.35">
      <c r="A120" s="539"/>
      <c r="B120" s="429"/>
      <c r="C120" s="203"/>
      <c r="D120" s="203"/>
      <c r="E120" s="203"/>
      <c r="F120" s="204"/>
      <c r="G120" s="205"/>
      <c r="H120" s="206" t="s">
        <v>211</v>
      </c>
      <c r="I120" s="207"/>
      <c r="J120" s="208"/>
      <c r="K120" s="209"/>
      <c r="L120" s="210">
        <f>SUM(L118:L118)</f>
        <v>0</v>
      </c>
      <c r="M120" s="210">
        <f>SUM(M118:M118)</f>
        <v>0</v>
      </c>
      <c r="N120" s="211"/>
    </row>
    <row r="121" spans="1:14" ht="15.5" x14ac:dyDescent="0.35">
      <c r="A121" s="539"/>
      <c r="B121" s="197"/>
      <c r="C121" s="199"/>
      <c r="D121" s="199"/>
      <c r="E121" s="199"/>
      <c r="F121" s="411"/>
      <c r="G121" s="412"/>
      <c r="H121" s="430"/>
      <c r="I121" s="413"/>
      <c r="J121" s="414"/>
      <c r="K121" s="450"/>
      <c r="L121" s="431"/>
      <c r="M121" s="431"/>
      <c r="N121" s="263"/>
    </row>
    <row r="122" spans="1:14" ht="18.5" x14ac:dyDescent="0.35">
      <c r="A122" s="539"/>
      <c r="B122" s="216"/>
      <c r="C122" s="188" t="s">
        <v>19</v>
      </c>
      <c r="D122" s="188" t="s">
        <v>139</v>
      </c>
      <c r="E122" s="189"/>
      <c r="F122" s="190" t="s">
        <v>47</v>
      </c>
      <c r="G122" s="191"/>
      <c r="H122" s="192" t="s">
        <v>22</v>
      </c>
      <c r="I122" s="193" t="s">
        <v>4</v>
      </c>
      <c r="J122" s="194">
        <f>4*2.1</f>
        <v>8.4</v>
      </c>
      <c r="K122" s="98"/>
      <c r="L122" s="195">
        <f>K122*J122</f>
        <v>0</v>
      </c>
      <c r="M122" s="98"/>
      <c r="N122" s="196"/>
    </row>
    <row r="123" spans="1:14" x14ac:dyDescent="0.35">
      <c r="A123" s="539"/>
      <c r="B123" s="197"/>
      <c r="C123" s="199"/>
      <c r="D123" s="199"/>
      <c r="E123" s="199"/>
      <c r="F123" s="200"/>
      <c r="G123" s="200"/>
      <c r="H123" s="192"/>
      <c r="I123" s="193"/>
      <c r="J123" s="194"/>
      <c r="K123" s="195"/>
      <c r="L123" s="195"/>
      <c r="M123" s="195"/>
      <c r="N123" s="196"/>
    </row>
    <row r="124" spans="1:14" ht="15.5" x14ac:dyDescent="0.35">
      <c r="A124" s="539"/>
      <c r="B124" s="429"/>
      <c r="C124" s="203"/>
      <c r="D124" s="203"/>
      <c r="E124" s="203"/>
      <c r="F124" s="204"/>
      <c r="G124" s="205"/>
      <c r="H124" s="206" t="s">
        <v>211</v>
      </c>
      <c r="I124" s="207"/>
      <c r="J124" s="208"/>
      <c r="K124" s="209"/>
      <c r="L124" s="210">
        <f>SUM(L122:L122)</f>
        <v>0</v>
      </c>
      <c r="M124" s="210">
        <f>SUM(M122:M122)</f>
        <v>0</v>
      </c>
      <c r="N124" s="211"/>
    </row>
    <row r="125" spans="1:14" x14ac:dyDescent="0.35">
      <c r="A125" s="539"/>
      <c r="B125" s="162"/>
      <c r="C125" s="163"/>
      <c r="D125" s="163"/>
      <c r="E125" s="163"/>
      <c r="F125" s="199"/>
      <c r="G125" s="199"/>
      <c r="H125" s="222"/>
      <c r="I125" s="222"/>
      <c r="J125" s="223"/>
      <c r="K125" s="222"/>
      <c r="L125" s="222"/>
      <c r="M125" s="222"/>
      <c r="N125" s="196"/>
    </row>
    <row r="126" spans="1:14" ht="18.5" x14ac:dyDescent="0.35">
      <c r="A126" s="539"/>
      <c r="B126" s="216"/>
      <c r="C126" s="188" t="s">
        <v>19</v>
      </c>
      <c r="D126" s="188" t="s">
        <v>140</v>
      </c>
      <c r="E126" s="245"/>
      <c r="F126" s="248" t="s">
        <v>193</v>
      </c>
      <c r="G126" s="246"/>
      <c r="H126" s="249" t="s">
        <v>234</v>
      </c>
      <c r="I126" s="242" t="s">
        <v>6</v>
      </c>
      <c r="J126" s="243">
        <v>30</v>
      </c>
      <c r="K126" s="98"/>
      <c r="L126" s="195">
        <f>K126*J126</f>
        <v>0</v>
      </c>
      <c r="M126" s="98"/>
      <c r="N126" s="196" t="s">
        <v>325</v>
      </c>
    </row>
    <row r="127" spans="1:14" x14ac:dyDescent="0.35">
      <c r="A127" s="539"/>
      <c r="B127" s="162"/>
      <c r="C127" s="163"/>
      <c r="D127" s="163"/>
      <c r="E127" s="163"/>
      <c r="F127" s="241"/>
      <c r="G127" s="241"/>
      <c r="H127" s="247"/>
      <c r="I127" s="242"/>
      <c r="J127" s="243"/>
      <c r="K127" s="244"/>
      <c r="L127" s="244"/>
      <c r="M127" s="244"/>
      <c r="N127" s="196"/>
    </row>
    <row r="128" spans="1:14" ht="15.5" x14ac:dyDescent="0.35">
      <c r="A128" s="539"/>
      <c r="B128" s="429"/>
      <c r="C128" s="203"/>
      <c r="D128" s="203"/>
      <c r="E128" s="203"/>
      <c r="F128" s="204"/>
      <c r="G128" s="205"/>
      <c r="H128" s="206" t="s">
        <v>211</v>
      </c>
      <c r="I128" s="207"/>
      <c r="J128" s="208"/>
      <c r="K128" s="209"/>
      <c r="L128" s="210">
        <f>SUM(L126)</f>
        <v>0</v>
      </c>
      <c r="M128" s="210">
        <f>SUM(M126)</f>
        <v>0</v>
      </c>
      <c r="N128" s="211"/>
    </row>
    <row r="129" spans="1:14" ht="15" thickBot="1" x14ac:dyDescent="0.4">
      <c r="A129" s="539"/>
      <c r="B129" s="197"/>
      <c r="C129" s="199"/>
      <c r="D129" s="199"/>
      <c r="E129" s="199"/>
      <c r="F129" s="199"/>
      <c r="G129" s="199"/>
      <c r="H129" s="222"/>
      <c r="I129" s="222"/>
      <c r="J129" s="223"/>
      <c r="K129" s="222"/>
      <c r="L129" s="222"/>
      <c r="M129" s="222"/>
      <c r="N129" s="196"/>
    </row>
    <row r="130" spans="1:14" ht="19" thickBot="1" x14ac:dyDescent="0.4">
      <c r="A130" s="539"/>
      <c r="B130" s="526" t="s">
        <v>23</v>
      </c>
      <c r="C130" s="527"/>
      <c r="D130" s="527"/>
      <c r="E130" s="527"/>
      <c r="F130" s="527"/>
      <c r="G130" s="224"/>
      <c r="H130" s="224" t="s">
        <v>211</v>
      </c>
      <c r="I130" s="225"/>
      <c r="J130" s="226"/>
      <c r="K130" s="227"/>
      <c r="L130" s="228">
        <f>L120+L116+L124+L128</f>
        <v>0</v>
      </c>
      <c r="M130" s="229">
        <f>M120+M116+M124+M128</f>
        <v>0</v>
      </c>
      <c r="N130" s="196"/>
    </row>
    <row r="131" spans="1:14" ht="19" thickBot="1" x14ac:dyDescent="0.4">
      <c r="A131" s="540"/>
      <c r="B131" s="230"/>
      <c r="C131" s="231"/>
      <c r="D131" s="231"/>
      <c r="E131" s="232"/>
      <c r="F131" s="233"/>
      <c r="G131" s="233"/>
      <c r="H131" s="234"/>
      <c r="I131" s="235"/>
      <c r="J131" s="236"/>
      <c r="K131" s="237"/>
      <c r="L131" s="238"/>
      <c r="M131" s="239"/>
      <c r="N131" s="196"/>
    </row>
    <row r="132" spans="1:14" ht="18.5" x14ac:dyDescent="0.35">
      <c r="A132" s="538" t="s">
        <v>25</v>
      </c>
      <c r="B132" s="197"/>
      <c r="C132" s="198"/>
      <c r="D132" s="198"/>
      <c r="E132" s="199"/>
      <c r="F132" s="200"/>
      <c r="G132" s="200"/>
      <c r="H132" s="222"/>
      <c r="I132" s="193"/>
      <c r="J132" s="194"/>
      <c r="K132" s="195"/>
      <c r="L132" s="195"/>
      <c r="M132" s="195"/>
      <c r="N132" s="186"/>
    </row>
    <row r="133" spans="1:14" ht="18.5" x14ac:dyDescent="0.35">
      <c r="A133" s="539"/>
      <c r="B133" s="216"/>
      <c r="C133" s="188" t="s">
        <v>26</v>
      </c>
      <c r="D133" s="188" t="s">
        <v>136</v>
      </c>
      <c r="E133" s="189"/>
      <c r="F133" s="190" t="s">
        <v>282</v>
      </c>
      <c r="G133" s="191"/>
      <c r="H133" s="192" t="s">
        <v>334</v>
      </c>
      <c r="I133" s="193" t="s">
        <v>5</v>
      </c>
      <c r="J133" s="194">
        <f>16*0.7</f>
        <v>11.2</v>
      </c>
      <c r="K133" s="98"/>
      <c r="L133" s="195">
        <f>K133*J133</f>
        <v>0</v>
      </c>
      <c r="M133" s="98"/>
      <c r="N133" s="196"/>
    </row>
    <row r="134" spans="1:14" x14ac:dyDescent="0.35">
      <c r="A134" s="539"/>
      <c r="B134" s="197"/>
      <c r="C134" s="199"/>
      <c r="D134" s="199"/>
      <c r="E134" s="199"/>
      <c r="F134" s="200"/>
      <c r="G134" s="200"/>
      <c r="H134" s="192"/>
      <c r="I134" s="193"/>
      <c r="J134" s="194"/>
      <c r="K134" s="195"/>
      <c r="L134" s="195"/>
      <c r="M134" s="195"/>
      <c r="N134" s="196"/>
    </row>
    <row r="135" spans="1:14" ht="15.5" x14ac:dyDescent="0.35">
      <c r="A135" s="539"/>
      <c r="B135" s="429"/>
      <c r="C135" s="203"/>
      <c r="D135" s="203"/>
      <c r="E135" s="203"/>
      <c r="F135" s="204"/>
      <c r="G135" s="205"/>
      <c r="H135" s="206" t="s">
        <v>211</v>
      </c>
      <c r="I135" s="207"/>
      <c r="J135" s="208"/>
      <c r="K135" s="209"/>
      <c r="L135" s="210">
        <f>SUM(L133:L133)</f>
        <v>0</v>
      </c>
      <c r="M135" s="210">
        <f>SUM(M133:M133)</f>
        <v>0</v>
      </c>
      <c r="N135" s="211"/>
    </row>
    <row r="136" spans="1:14" ht="15" thickBot="1" x14ac:dyDescent="0.4">
      <c r="A136" s="539"/>
      <c r="B136" s="197"/>
      <c r="C136" s="199"/>
      <c r="D136" s="199"/>
      <c r="E136" s="199"/>
      <c r="F136" s="199"/>
      <c r="G136" s="199"/>
      <c r="H136" s="222"/>
      <c r="I136" s="222"/>
      <c r="J136" s="223"/>
      <c r="K136" s="222"/>
      <c r="L136" s="222"/>
      <c r="M136" s="222"/>
      <c r="N136" s="196"/>
    </row>
    <row r="137" spans="1:14" ht="19" thickBot="1" x14ac:dyDescent="0.4">
      <c r="A137" s="539"/>
      <c r="B137" s="526" t="s">
        <v>24</v>
      </c>
      <c r="C137" s="527"/>
      <c r="D137" s="527"/>
      <c r="E137" s="527"/>
      <c r="F137" s="527"/>
      <c r="G137" s="224"/>
      <c r="H137" s="224" t="s">
        <v>211</v>
      </c>
      <c r="I137" s="225"/>
      <c r="J137" s="226"/>
      <c r="K137" s="227"/>
      <c r="L137" s="228">
        <f>L135</f>
        <v>0</v>
      </c>
      <c r="M137" s="229">
        <f>M135</f>
        <v>0</v>
      </c>
      <c r="N137" s="196"/>
    </row>
    <row r="138" spans="1:14" ht="19" thickBot="1" x14ac:dyDescent="0.4">
      <c r="A138" s="540"/>
      <c r="B138" s="230"/>
      <c r="C138" s="231"/>
      <c r="D138" s="231"/>
      <c r="E138" s="232"/>
      <c r="F138" s="233"/>
      <c r="G138" s="233"/>
      <c r="H138" s="234"/>
      <c r="I138" s="235"/>
      <c r="J138" s="236"/>
      <c r="K138" s="237"/>
      <c r="L138" s="238"/>
      <c r="M138" s="239"/>
      <c r="N138" s="196"/>
    </row>
    <row r="139" spans="1:14" s="9" customFormat="1" ht="18.5" hidden="1" x14ac:dyDescent="0.35">
      <c r="A139" s="555" t="s">
        <v>30</v>
      </c>
      <c r="B139" s="217"/>
      <c r="C139" s="138"/>
      <c r="D139" s="138"/>
      <c r="E139" s="219"/>
      <c r="F139" s="288"/>
      <c r="G139" s="288"/>
      <c r="H139" s="289"/>
      <c r="I139" s="285"/>
      <c r="J139" s="286"/>
      <c r="K139" s="287"/>
      <c r="L139" s="287"/>
      <c r="M139" s="287"/>
      <c r="N139" s="259"/>
    </row>
    <row r="140" spans="1:14" s="9" customFormat="1" ht="31" hidden="1" x14ac:dyDescent="0.35">
      <c r="A140" s="556"/>
      <c r="B140" s="216">
        <v>101</v>
      </c>
      <c r="C140" s="188" t="s">
        <v>31</v>
      </c>
      <c r="D140" s="188" t="s">
        <v>137</v>
      </c>
      <c r="E140" s="189"/>
      <c r="F140" s="282" t="s">
        <v>202</v>
      </c>
      <c r="G140" s="283"/>
      <c r="H140" s="284"/>
      <c r="I140" s="285" t="s">
        <v>6</v>
      </c>
      <c r="J140" s="286"/>
      <c r="K140" s="287">
        <v>0</v>
      </c>
      <c r="L140" s="287">
        <v>0</v>
      </c>
      <c r="M140" s="287">
        <v>0</v>
      </c>
      <c r="N140" s="263"/>
    </row>
    <row r="141" spans="1:14" s="9" customFormat="1" ht="18.5" hidden="1" x14ac:dyDescent="0.35">
      <c r="A141" s="556"/>
      <c r="B141" s="217"/>
      <c r="C141" s="218"/>
      <c r="D141" s="218"/>
      <c r="E141" s="219"/>
      <c r="F141" s="220"/>
      <c r="G141" s="283"/>
      <c r="H141" s="284"/>
      <c r="I141" s="285" t="s">
        <v>6</v>
      </c>
      <c r="J141" s="286"/>
      <c r="K141" s="287">
        <v>0</v>
      </c>
      <c r="L141" s="287">
        <v>0</v>
      </c>
      <c r="M141" s="287">
        <v>0</v>
      </c>
      <c r="N141" s="263"/>
    </row>
    <row r="142" spans="1:14" s="9" customFormat="1" ht="18.5" hidden="1" x14ac:dyDescent="0.35">
      <c r="A142" s="556"/>
      <c r="B142" s="217"/>
      <c r="C142" s="218"/>
      <c r="D142" s="218"/>
      <c r="E142" s="219"/>
      <c r="F142" s="220"/>
      <c r="G142" s="283"/>
      <c r="H142" s="284"/>
      <c r="I142" s="285" t="s">
        <v>6</v>
      </c>
      <c r="J142" s="286"/>
      <c r="K142" s="287">
        <v>0</v>
      </c>
      <c r="L142" s="287">
        <v>0</v>
      </c>
      <c r="M142" s="287">
        <v>0</v>
      </c>
      <c r="N142" s="263"/>
    </row>
    <row r="143" spans="1:14" s="9" customFormat="1" ht="18.5" hidden="1" x14ac:dyDescent="0.35">
      <c r="A143" s="556"/>
      <c r="B143" s="217"/>
      <c r="C143" s="218"/>
      <c r="D143" s="218"/>
      <c r="E143" s="219"/>
      <c r="F143" s="220"/>
      <c r="G143" s="283"/>
      <c r="H143" s="284"/>
      <c r="I143" s="285"/>
      <c r="J143" s="286"/>
      <c r="K143" s="287"/>
      <c r="L143" s="287"/>
      <c r="M143" s="287"/>
      <c r="N143" s="263"/>
    </row>
    <row r="144" spans="1:14" s="9" customFormat="1" hidden="1" x14ac:dyDescent="0.35">
      <c r="A144" s="556"/>
      <c r="B144" s="217"/>
      <c r="C144" s="219"/>
      <c r="D144" s="219"/>
      <c r="E144" s="219"/>
      <c r="F144" s="288"/>
      <c r="G144" s="288"/>
      <c r="H144" s="284"/>
      <c r="I144" s="285" t="s">
        <v>61</v>
      </c>
      <c r="J144" s="286"/>
      <c r="K144" s="287">
        <v>0</v>
      </c>
      <c r="L144" s="287">
        <v>0</v>
      </c>
      <c r="M144" s="287">
        <v>0</v>
      </c>
      <c r="N144" s="263"/>
    </row>
    <row r="145" spans="1:14" s="9" customFormat="1" hidden="1" x14ac:dyDescent="0.35">
      <c r="A145" s="556"/>
      <c r="B145" s="217"/>
      <c r="C145" s="219"/>
      <c r="D145" s="219"/>
      <c r="E145" s="219"/>
      <c r="F145" s="288"/>
      <c r="G145" s="288"/>
      <c r="H145" s="284"/>
      <c r="I145" s="285" t="s">
        <v>61</v>
      </c>
      <c r="J145" s="286"/>
      <c r="K145" s="287">
        <v>0</v>
      </c>
      <c r="L145" s="287">
        <v>0</v>
      </c>
      <c r="M145" s="287">
        <v>0</v>
      </c>
      <c r="N145" s="263"/>
    </row>
    <row r="146" spans="1:14" s="9" customFormat="1" hidden="1" x14ac:dyDescent="0.35">
      <c r="A146" s="556"/>
      <c r="B146" s="217"/>
      <c r="C146" s="219"/>
      <c r="D146" s="219"/>
      <c r="E146" s="219"/>
      <c r="F146" s="288"/>
      <c r="G146" s="288"/>
      <c r="H146" s="284"/>
      <c r="I146" s="285"/>
      <c r="J146" s="286"/>
      <c r="K146" s="287"/>
      <c r="L146" s="287"/>
      <c r="M146" s="287"/>
      <c r="N146" s="263"/>
    </row>
    <row r="147" spans="1:14" s="9" customFormat="1" ht="15.5" hidden="1" x14ac:dyDescent="0.35">
      <c r="A147" s="556"/>
      <c r="B147" s="290"/>
      <c r="C147" s="265"/>
      <c r="D147" s="265"/>
      <c r="E147" s="265"/>
      <c r="F147" s="266"/>
      <c r="G147" s="267"/>
      <c r="H147" s="206" t="s">
        <v>211</v>
      </c>
      <c r="I147" s="268"/>
      <c r="J147" s="269"/>
      <c r="K147" s="270"/>
      <c r="L147" s="210">
        <f>SUM(L140:L145)</f>
        <v>0</v>
      </c>
      <c r="M147" s="210">
        <f>SUM(M140:M145)</f>
        <v>0</v>
      </c>
      <c r="N147" s="271"/>
    </row>
    <row r="148" spans="1:14" hidden="1" x14ac:dyDescent="0.35">
      <c r="A148" s="556"/>
      <c r="B148" s="217"/>
      <c r="C148" s="219"/>
      <c r="D148" s="219"/>
      <c r="E148" s="219"/>
      <c r="F148" s="219"/>
      <c r="G148" s="219"/>
      <c r="H148" s="289"/>
      <c r="I148" s="285"/>
      <c r="J148" s="286"/>
      <c r="K148" s="287"/>
      <c r="L148" s="289"/>
      <c r="M148" s="289"/>
      <c r="N148" s="440"/>
    </row>
    <row r="149" spans="1:14" ht="31" hidden="1" x14ac:dyDescent="0.35">
      <c r="A149" s="556"/>
      <c r="B149" s="216"/>
      <c r="C149" s="188" t="s">
        <v>31</v>
      </c>
      <c r="D149" s="188" t="s">
        <v>138</v>
      </c>
      <c r="E149" s="189"/>
      <c r="F149" s="282" t="s">
        <v>202</v>
      </c>
      <c r="G149" s="283"/>
      <c r="H149" s="284"/>
      <c r="I149" s="285" t="s">
        <v>6</v>
      </c>
      <c r="J149" s="286"/>
      <c r="K149" s="287">
        <v>0</v>
      </c>
      <c r="L149" s="287">
        <v>0</v>
      </c>
      <c r="M149" s="287">
        <v>0</v>
      </c>
      <c r="N149" s="440"/>
    </row>
    <row r="150" spans="1:14" hidden="1" x14ac:dyDescent="0.35">
      <c r="A150" s="556"/>
      <c r="B150" s="217"/>
      <c r="C150" s="219"/>
      <c r="D150" s="219"/>
      <c r="E150" s="219"/>
      <c r="F150" s="288"/>
      <c r="G150" s="288"/>
      <c r="H150" s="284"/>
      <c r="I150" s="285"/>
      <c r="J150" s="286"/>
      <c r="K150" s="287"/>
      <c r="L150" s="287"/>
      <c r="M150" s="287"/>
      <c r="N150" s="263"/>
    </row>
    <row r="151" spans="1:14" ht="15.5" hidden="1" x14ac:dyDescent="0.35">
      <c r="A151" s="556"/>
      <c r="B151" s="290"/>
      <c r="C151" s="265"/>
      <c r="D151" s="265"/>
      <c r="E151" s="265"/>
      <c r="F151" s="266"/>
      <c r="G151" s="267"/>
      <c r="H151" s="206" t="s">
        <v>211</v>
      </c>
      <c r="I151" s="268"/>
      <c r="J151" s="269"/>
      <c r="K151" s="270"/>
      <c r="L151" s="210">
        <f>SUM(L149)</f>
        <v>0</v>
      </c>
      <c r="M151" s="210">
        <f>SUM(M149)</f>
        <v>0</v>
      </c>
      <c r="N151" s="271"/>
    </row>
    <row r="152" spans="1:14" s="9" customFormat="1" ht="15" hidden="1" thickBot="1" x14ac:dyDescent="0.4">
      <c r="A152" s="556"/>
      <c r="B152" s="217"/>
      <c r="C152" s="219"/>
      <c r="D152" s="219"/>
      <c r="E152" s="219"/>
      <c r="F152" s="219"/>
      <c r="G152" s="219"/>
      <c r="H152" s="289"/>
      <c r="I152" s="289"/>
      <c r="J152" s="441"/>
      <c r="K152" s="289"/>
      <c r="L152" s="289"/>
      <c r="M152" s="289"/>
      <c r="N152" s="263"/>
    </row>
    <row r="153" spans="1:14" s="9" customFormat="1" ht="19" hidden="1" thickBot="1" x14ac:dyDescent="0.4">
      <c r="A153" s="556"/>
      <c r="B153" s="526" t="s">
        <v>28</v>
      </c>
      <c r="C153" s="527"/>
      <c r="D153" s="527"/>
      <c r="E153" s="527"/>
      <c r="F153" s="527"/>
      <c r="G153" s="224"/>
      <c r="H153" s="224" t="s">
        <v>211</v>
      </c>
      <c r="I153" s="225"/>
      <c r="J153" s="226"/>
      <c r="K153" s="227"/>
      <c r="L153" s="228">
        <f>L147+L151</f>
        <v>0</v>
      </c>
      <c r="M153" s="229">
        <f>M147+M151</f>
        <v>0</v>
      </c>
      <c r="N153" s="263"/>
    </row>
    <row r="154" spans="1:14" s="9" customFormat="1" ht="19" hidden="1" thickBot="1" x14ac:dyDescent="0.4">
      <c r="A154" s="557"/>
      <c r="B154" s="273"/>
      <c r="C154" s="274"/>
      <c r="D154" s="274"/>
      <c r="E154" s="275"/>
      <c r="F154" s="276"/>
      <c r="G154" s="276"/>
      <c r="H154" s="277"/>
      <c r="I154" s="278"/>
      <c r="J154" s="279"/>
      <c r="K154" s="280"/>
      <c r="L154" s="281"/>
      <c r="M154" s="278"/>
      <c r="N154" s="291"/>
    </row>
    <row r="155" spans="1:14" ht="18.5" x14ac:dyDescent="0.35">
      <c r="A155" s="538" t="s">
        <v>32</v>
      </c>
      <c r="B155" s="197"/>
      <c r="C155" s="198"/>
      <c r="D155" s="198"/>
      <c r="E155" s="199"/>
      <c r="F155" s="200"/>
      <c r="G155" s="200"/>
      <c r="H155" s="222"/>
      <c r="I155" s="193"/>
      <c r="J155" s="194"/>
      <c r="K155" s="195"/>
      <c r="L155" s="195"/>
      <c r="M155" s="195"/>
      <c r="N155" s="186"/>
    </row>
    <row r="156" spans="1:14" ht="29" x14ac:dyDescent="0.35">
      <c r="A156" s="539"/>
      <c r="B156" s="297"/>
      <c r="C156" s="188" t="s">
        <v>33</v>
      </c>
      <c r="D156" s="188" t="s">
        <v>137</v>
      </c>
      <c r="E156" s="442"/>
      <c r="F156" s="190" t="s">
        <v>170</v>
      </c>
      <c r="G156" s="191"/>
      <c r="H156" s="443" t="s">
        <v>323</v>
      </c>
      <c r="I156" s="301" t="s">
        <v>6</v>
      </c>
      <c r="J156" s="444">
        <v>1</v>
      </c>
      <c r="K156" s="201">
        <v>0</v>
      </c>
      <c r="L156" s="201">
        <f>K156*J156</f>
        <v>0</v>
      </c>
      <c r="M156" s="201">
        <v>0</v>
      </c>
      <c r="N156" s="196" t="s">
        <v>343</v>
      </c>
    </row>
    <row r="157" spans="1:14" x14ac:dyDescent="0.35">
      <c r="A157" s="539"/>
      <c r="B157" s="197"/>
      <c r="C157" s="445"/>
      <c r="D157" s="445"/>
      <c r="E157" s="445"/>
      <c r="F157" s="191"/>
      <c r="G157" s="191"/>
      <c r="H157" s="300"/>
      <c r="I157" s="301"/>
      <c r="J157" s="444"/>
      <c r="K157" s="201"/>
      <c r="L157" s="201"/>
      <c r="M157" s="201"/>
      <c r="N157" s="451"/>
    </row>
    <row r="158" spans="1:14" ht="15.5" x14ac:dyDescent="0.35">
      <c r="A158" s="539"/>
      <c r="B158" s="429"/>
      <c r="C158" s="446"/>
      <c r="D158" s="446"/>
      <c r="E158" s="446"/>
      <c r="F158" s="204"/>
      <c r="G158" s="205"/>
      <c r="H158" s="206" t="s">
        <v>211</v>
      </c>
      <c r="I158" s="207"/>
      <c r="J158" s="208"/>
      <c r="K158" s="209"/>
      <c r="L158" s="210">
        <f>SUM(L156:L156)</f>
        <v>0</v>
      </c>
      <c r="M158" s="210">
        <f>SUM(M156:M156)</f>
        <v>0</v>
      </c>
      <c r="N158" s="452"/>
    </row>
    <row r="159" spans="1:14" ht="15.5" x14ac:dyDescent="0.35">
      <c r="A159" s="539"/>
      <c r="B159" s="197"/>
      <c r="C159" s="445"/>
      <c r="D159" s="445"/>
      <c r="E159" s="445"/>
      <c r="F159" s="411"/>
      <c r="G159" s="412"/>
      <c r="H159" s="430"/>
      <c r="I159" s="413"/>
      <c r="J159" s="414"/>
      <c r="K159" s="415"/>
      <c r="L159" s="431"/>
      <c r="M159" s="431"/>
      <c r="N159" s="451"/>
    </row>
    <row r="160" spans="1:14" ht="29" x14ac:dyDescent="0.35">
      <c r="A160" s="539"/>
      <c r="B160" s="297"/>
      <c r="C160" s="188" t="s">
        <v>33</v>
      </c>
      <c r="D160" s="188" t="s">
        <v>138</v>
      </c>
      <c r="E160" s="442"/>
      <c r="F160" s="190" t="s">
        <v>171</v>
      </c>
      <c r="G160" s="191"/>
      <c r="H160" s="443" t="s">
        <v>323</v>
      </c>
      <c r="I160" s="301" t="s">
        <v>6</v>
      </c>
      <c r="J160" s="444">
        <v>1</v>
      </c>
      <c r="K160" s="201">
        <v>0</v>
      </c>
      <c r="L160" s="201">
        <f>K160*J160</f>
        <v>0</v>
      </c>
      <c r="M160" s="201">
        <v>0</v>
      </c>
      <c r="N160" s="196" t="s">
        <v>343</v>
      </c>
    </row>
    <row r="161" spans="1:14" x14ac:dyDescent="0.35">
      <c r="A161" s="539"/>
      <c r="B161" s="197"/>
      <c r="C161" s="445"/>
      <c r="D161" s="445"/>
      <c r="E161" s="445"/>
      <c r="F161" s="191"/>
      <c r="G161" s="191"/>
      <c r="H161" s="300"/>
      <c r="I161" s="301"/>
      <c r="J161" s="444"/>
      <c r="K161" s="201"/>
      <c r="L161" s="201"/>
      <c r="M161" s="201"/>
      <c r="N161" s="451"/>
    </row>
    <row r="162" spans="1:14" ht="15.5" x14ac:dyDescent="0.35">
      <c r="A162" s="539"/>
      <c r="B162" s="429"/>
      <c r="C162" s="446"/>
      <c r="D162" s="446"/>
      <c r="E162" s="446"/>
      <c r="F162" s="204"/>
      <c r="G162" s="205"/>
      <c r="H162" s="206" t="s">
        <v>211</v>
      </c>
      <c r="I162" s="207"/>
      <c r="J162" s="208"/>
      <c r="K162" s="209"/>
      <c r="L162" s="210">
        <f>SUM(L160:L160)</f>
        <v>0</v>
      </c>
      <c r="M162" s="210">
        <f>SUM(M160:M160)</f>
        <v>0</v>
      </c>
      <c r="N162" s="452"/>
    </row>
    <row r="163" spans="1:14" ht="15.5" x14ac:dyDescent="0.35">
      <c r="A163" s="539"/>
      <c r="B163" s="197"/>
      <c r="C163" s="445"/>
      <c r="D163" s="445"/>
      <c r="E163" s="445"/>
      <c r="F163" s="411"/>
      <c r="G163" s="412"/>
      <c r="H163" s="430"/>
      <c r="I163" s="413"/>
      <c r="J163" s="414"/>
      <c r="K163" s="415"/>
      <c r="L163" s="431"/>
      <c r="M163" s="431"/>
      <c r="N163" s="451"/>
    </row>
    <row r="164" spans="1:14" ht="29" x14ac:dyDescent="0.35">
      <c r="A164" s="539"/>
      <c r="B164" s="297"/>
      <c r="C164" s="188" t="s">
        <v>33</v>
      </c>
      <c r="D164" s="188" t="s">
        <v>139</v>
      </c>
      <c r="E164" s="442"/>
      <c r="F164" s="190" t="s">
        <v>172</v>
      </c>
      <c r="G164" s="191"/>
      <c r="H164" s="443" t="s">
        <v>323</v>
      </c>
      <c r="I164" s="301" t="s">
        <v>6</v>
      </c>
      <c r="J164" s="444">
        <v>1</v>
      </c>
      <c r="K164" s="201">
        <v>0</v>
      </c>
      <c r="L164" s="201">
        <f>K164*J164</f>
        <v>0</v>
      </c>
      <c r="M164" s="201">
        <v>0</v>
      </c>
      <c r="N164" s="196" t="s">
        <v>343</v>
      </c>
    </row>
    <row r="165" spans="1:14" x14ac:dyDescent="0.35">
      <c r="A165" s="539"/>
      <c r="B165" s="197"/>
      <c r="C165" s="445"/>
      <c r="D165" s="445"/>
      <c r="E165" s="445"/>
      <c r="F165" s="191"/>
      <c r="G165" s="191"/>
      <c r="H165" s="300"/>
      <c r="I165" s="301"/>
      <c r="J165" s="444"/>
      <c r="K165" s="201"/>
      <c r="L165" s="201"/>
      <c r="M165" s="201"/>
      <c r="N165" s="451"/>
    </row>
    <row r="166" spans="1:14" ht="15.5" x14ac:dyDescent="0.35">
      <c r="A166" s="539"/>
      <c r="B166" s="429"/>
      <c r="C166" s="446"/>
      <c r="D166" s="446"/>
      <c r="E166" s="446"/>
      <c r="F166" s="204"/>
      <c r="G166" s="205"/>
      <c r="H166" s="206" t="s">
        <v>211</v>
      </c>
      <c r="I166" s="207"/>
      <c r="J166" s="208"/>
      <c r="K166" s="209"/>
      <c r="L166" s="210">
        <f>SUM(L164:L164)</f>
        <v>0</v>
      </c>
      <c r="M166" s="210">
        <f>SUM(M164:M164)</f>
        <v>0</v>
      </c>
      <c r="N166" s="452"/>
    </row>
    <row r="167" spans="1:14" ht="15.5" x14ac:dyDescent="0.35">
      <c r="A167" s="539"/>
      <c r="B167" s="197"/>
      <c r="C167" s="445"/>
      <c r="D167" s="445"/>
      <c r="E167" s="445"/>
      <c r="F167" s="411"/>
      <c r="G167" s="412"/>
      <c r="H167" s="430"/>
      <c r="I167" s="413"/>
      <c r="J167" s="414"/>
      <c r="K167" s="415"/>
      <c r="L167" s="431"/>
      <c r="M167" s="431"/>
      <c r="N167" s="451"/>
    </row>
    <row r="168" spans="1:14" ht="29" x14ac:dyDescent="0.35">
      <c r="A168" s="539"/>
      <c r="B168" s="297"/>
      <c r="C168" s="188" t="s">
        <v>33</v>
      </c>
      <c r="D168" s="188" t="s">
        <v>140</v>
      </c>
      <c r="E168" s="442"/>
      <c r="F168" s="190" t="s">
        <v>173</v>
      </c>
      <c r="G168" s="191"/>
      <c r="H168" s="443" t="s">
        <v>323</v>
      </c>
      <c r="I168" s="301" t="s">
        <v>6</v>
      </c>
      <c r="J168" s="444">
        <v>1</v>
      </c>
      <c r="K168" s="201">
        <v>0</v>
      </c>
      <c r="L168" s="201">
        <f>K168*J168</f>
        <v>0</v>
      </c>
      <c r="M168" s="201">
        <v>0</v>
      </c>
      <c r="N168" s="196" t="s">
        <v>343</v>
      </c>
    </row>
    <row r="169" spans="1:14" x14ac:dyDescent="0.35">
      <c r="A169" s="539"/>
      <c r="B169" s="197"/>
      <c r="C169" s="445"/>
      <c r="D169" s="445"/>
      <c r="E169" s="445"/>
      <c r="F169" s="191"/>
      <c r="G169" s="191"/>
      <c r="H169" s="300"/>
      <c r="I169" s="301"/>
      <c r="J169" s="444"/>
      <c r="K169" s="201"/>
      <c r="L169" s="201"/>
      <c r="M169" s="201"/>
      <c r="N169" s="451"/>
    </row>
    <row r="170" spans="1:14" ht="15.5" x14ac:dyDescent="0.35">
      <c r="A170" s="539"/>
      <c r="B170" s="429"/>
      <c r="C170" s="446"/>
      <c r="D170" s="446"/>
      <c r="E170" s="446"/>
      <c r="F170" s="204"/>
      <c r="G170" s="205"/>
      <c r="H170" s="206" t="s">
        <v>211</v>
      </c>
      <c r="I170" s="207"/>
      <c r="J170" s="208"/>
      <c r="K170" s="209"/>
      <c r="L170" s="210">
        <f>SUM(L168:L168)</f>
        <v>0</v>
      </c>
      <c r="M170" s="210">
        <f>SUM(M168:M168)</f>
        <v>0</v>
      </c>
      <c r="N170" s="452"/>
    </row>
    <row r="171" spans="1:14" ht="15.5" x14ac:dyDescent="0.35">
      <c r="A171" s="539"/>
      <c r="B171" s="197"/>
      <c r="C171" s="445"/>
      <c r="D171" s="445"/>
      <c r="E171" s="445"/>
      <c r="F171" s="411"/>
      <c r="G171" s="412"/>
      <c r="H171" s="430"/>
      <c r="I171" s="413"/>
      <c r="J171" s="414"/>
      <c r="K171" s="415"/>
      <c r="L171" s="431"/>
      <c r="M171" s="431"/>
      <c r="N171" s="451"/>
    </row>
    <row r="172" spans="1:14" ht="29" x14ac:dyDescent="0.35">
      <c r="A172" s="539"/>
      <c r="B172" s="297"/>
      <c r="C172" s="188" t="s">
        <v>33</v>
      </c>
      <c r="D172" s="188" t="s">
        <v>161</v>
      </c>
      <c r="E172" s="442"/>
      <c r="F172" s="190" t="s">
        <v>174</v>
      </c>
      <c r="G172" s="191"/>
      <c r="H172" s="443" t="s">
        <v>323</v>
      </c>
      <c r="I172" s="301" t="s">
        <v>6</v>
      </c>
      <c r="J172" s="444">
        <v>1</v>
      </c>
      <c r="K172" s="201">
        <v>0</v>
      </c>
      <c r="L172" s="201">
        <f>K172*J172</f>
        <v>0</v>
      </c>
      <c r="M172" s="201">
        <v>0</v>
      </c>
      <c r="N172" s="196" t="s">
        <v>343</v>
      </c>
    </row>
    <row r="173" spans="1:14" x14ac:dyDescent="0.35">
      <c r="A173" s="539"/>
      <c r="B173" s="197"/>
      <c r="C173" s="445"/>
      <c r="D173" s="445"/>
      <c r="E173" s="445"/>
      <c r="F173" s="191"/>
      <c r="G173" s="191"/>
      <c r="H173" s="300"/>
      <c r="I173" s="301"/>
      <c r="J173" s="444"/>
      <c r="K173" s="201"/>
      <c r="L173" s="201"/>
      <c r="M173" s="201"/>
      <c r="N173" s="451"/>
    </row>
    <row r="174" spans="1:14" ht="15.5" x14ac:dyDescent="0.35">
      <c r="A174" s="539"/>
      <c r="B174" s="429"/>
      <c r="C174" s="446"/>
      <c r="D174" s="446"/>
      <c r="E174" s="446"/>
      <c r="F174" s="204"/>
      <c r="G174" s="205"/>
      <c r="H174" s="206" t="s">
        <v>211</v>
      </c>
      <c r="I174" s="207"/>
      <c r="J174" s="208"/>
      <c r="K174" s="209"/>
      <c r="L174" s="210">
        <f>SUM(L172:L172)</f>
        <v>0</v>
      </c>
      <c r="M174" s="210">
        <f>SUM(M172:M172)</f>
        <v>0</v>
      </c>
      <c r="N174" s="452"/>
    </row>
    <row r="175" spans="1:14" ht="15.5" x14ac:dyDescent="0.35">
      <c r="A175" s="539"/>
      <c r="B175" s="197"/>
      <c r="C175" s="445"/>
      <c r="D175" s="445"/>
      <c r="E175" s="445"/>
      <c r="F175" s="411"/>
      <c r="G175" s="412"/>
      <c r="H175" s="430"/>
      <c r="I175" s="413"/>
      <c r="J175" s="414"/>
      <c r="K175" s="415"/>
      <c r="L175" s="431"/>
      <c r="M175" s="431"/>
      <c r="N175" s="451"/>
    </row>
    <row r="176" spans="1:14" ht="29" x14ac:dyDescent="0.35">
      <c r="A176" s="539"/>
      <c r="B176" s="297"/>
      <c r="C176" s="188" t="s">
        <v>33</v>
      </c>
      <c r="D176" s="188" t="s">
        <v>162</v>
      </c>
      <c r="E176" s="442"/>
      <c r="F176" s="190" t="s">
        <v>175</v>
      </c>
      <c r="G176" s="191"/>
      <c r="H176" s="443" t="s">
        <v>323</v>
      </c>
      <c r="I176" s="301" t="s">
        <v>6</v>
      </c>
      <c r="J176" s="444">
        <v>1</v>
      </c>
      <c r="K176" s="201">
        <v>0</v>
      </c>
      <c r="L176" s="201">
        <f>K176*J176</f>
        <v>0</v>
      </c>
      <c r="M176" s="201">
        <v>0</v>
      </c>
      <c r="N176" s="196" t="s">
        <v>343</v>
      </c>
    </row>
    <row r="177" spans="1:14" x14ac:dyDescent="0.35">
      <c r="A177" s="539"/>
      <c r="B177" s="197"/>
      <c r="C177" s="445"/>
      <c r="D177" s="445"/>
      <c r="E177" s="445"/>
      <c r="F177" s="191"/>
      <c r="G177" s="191"/>
      <c r="H177" s="300"/>
      <c r="I177" s="301"/>
      <c r="J177" s="444"/>
      <c r="K177" s="201"/>
      <c r="L177" s="201"/>
      <c r="M177" s="201"/>
      <c r="N177" s="451"/>
    </row>
    <row r="178" spans="1:14" ht="15.5" x14ac:dyDescent="0.35">
      <c r="A178" s="539"/>
      <c r="B178" s="429"/>
      <c r="C178" s="446"/>
      <c r="D178" s="446"/>
      <c r="E178" s="446"/>
      <c r="F178" s="204"/>
      <c r="G178" s="205"/>
      <c r="H178" s="206" t="s">
        <v>211</v>
      </c>
      <c r="I178" s="207"/>
      <c r="J178" s="208"/>
      <c r="K178" s="209"/>
      <c r="L178" s="210">
        <f>SUM(L176:L176)</f>
        <v>0</v>
      </c>
      <c r="M178" s="210">
        <f>SUM(M176:M176)</f>
        <v>0</v>
      </c>
      <c r="N178" s="452"/>
    </row>
    <row r="179" spans="1:14" ht="15.5" x14ac:dyDescent="0.35">
      <c r="A179" s="539"/>
      <c r="B179" s="197"/>
      <c r="C179" s="445"/>
      <c r="D179" s="445"/>
      <c r="E179" s="445"/>
      <c r="F179" s="411"/>
      <c r="G179" s="412"/>
      <c r="H179" s="430"/>
      <c r="I179" s="413"/>
      <c r="J179" s="414"/>
      <c r="K179" s="415"/>
      <c r="L179" s="431"/>
      <c r="M179" s="431"/>
      <c r="N179" s="451"/>
    </row>
    <row r="180" spans="1:14" ht="29" x14ac:dyDescent="0.35">
      <c r="A180" s="539"/>
      <c r="B180" s="297"/>
      <c r="C180" s="188" t="s">
        <v>33</v>
      </c>
      <c r="D180" s="188" t="s">
        <v>163</v>
      </c>
      <c r="E180" s="442"/>
      <c r="F180" s="190" t="s">
        <v>180</v>
      </c>
      <c r="G180" s="191"/>
      <c r="H180" s="443" t="s">
        <v>323</v>
      </c>
      <c r="I180" s="301" t="s">
        <v>6</v>
      </c>
      <c r="J180" s="444">
        <v>1</v>
      </c>
      <c r="K180" s="201">
        <v>0</v>
      </c>
      <c r="L180" s="201">
        <f>K180*J180</f>
        <v>0</v>
      </c>
      <c r="M180" s="201">
        <v>0</v>
      </c>
      <c r="N180" s="196" t="s">
        <v>343</v>
      </c>
    </row>
    <row r="181" spans="1:14" x14ac:dyDescent="0.35">
      <c r="A181" s="539"/>
      <c r="B181" s="197"/>
      <c r="C181" s="445"/>
      <c r="D181" s="445"/>
      <c r="E181" s="445"/>
      <c r="F181" s="191"/>
      <c r="G181" s="191"/>
      <c r="H181" s="300"/>
      <c r="I181" s="301"/>
      <c r="J181" s="444"/>
      <c r="K181" s="201"/>
      <c r="L181" s="201"/>
      <c r="M181" s="201"/>
      <c r="N181" s="451"/>
    </row>
    <row r="182" spans="1:14" ht="15.5" x14ac:dyDescent="0.35">
      <c r="A182" s="539"/>
      <c r="B182" s="429"/>
      <c r="C182" s="446"/>
      <c r="D182" s="446"/>
      <c r="E182" s="446"/>
      <c r="F182" s="204"/>
      <c r="G182" s="205"/>
      <c r="H182" s="206" t="s">
        <v>211</v>
      </c>
      <c r="I182" s="207"/>
      <c r="J182" s="208"/>
      <c r="K182" s="209"/>
      <c r="L182" s="210">
        <f>SUM(L180:L180)</f>
        <v>0</v>
      </c>
      <c r="M182" s="210">
        <f>SUM(M180:M180)</f>
        <v>0</v>
      </c>
      <c r="N182" s="452"/>
    </row>
    <row r="183" spans="1:14" ht="15.5" x14ac:dyDescent="0.35">
      <c r="A183" s="539"/>
      <c r="B183" s="197"/>
      <c r="C183" s="445"/>
      <c r="D183" s="445"/>
      <c r="E183" s="445"/>
      <c r="F183" s="411"/>
      <c r="G183" s="412"/>
      <c r="H183" s="430"/>
      <c r="I183" s="413"/>
      <c r="J183" s="414"/>
      <c r="K183" s="415"/>
      <c r="L183" s="431"/>
      <c r="M183" s="431"/>
      <c r="N183" s="451"/>
    </row>
    <row r="184" spans="1:14" ht="29" x14ac:dyDescent="0.35">
      <c r="A184" s="539"/>
      <c r="B184" s="297"/>
      <c r="C184" s="188" t="s">
        <v>33</v>
      </c>
      <c r="D184" s="188" t="s">
        <v>164</v>
      </c>
      <c r="E184" s="442"/>
      <c r="F184" s="190" t="s">
        <v>181</v>
      </c>
      <c r="G184" s="191"/>
      <c r="H184" s="443" t="s">
        <v>323</v>
      </c>
      <c r="I184" s="301" t="s">
        <v>6</v>
      </c>
      <c r="J184" s="444">
        <v>1</v>
      </c>
      <c r="K184" s="201">
        <v>0</v>
      </c>
      <c r="L184" s="201">
        <f>K184*J184</f>
        <v>0</v>
      </c>
      <c r="M184" s="201">
        <v>0</v>
      </c>
      <c r="N184" s="196" t="s">
        <v>343</v>
      </c>
    </row>
    <row r="185" spans="1:14" x14ac:dyDescent="0.35">
      <c r="A185" s="539"/>
      <c r="B185" s="197"/>
      <c r="C185" s="445"/>
      <c r="D185" s="445"/>
      <c r="E185" s="445"/>
      <c r="F185" s="191"/>
      <c r="G185" s="191"/>
      <c r="H185" s="300"/>
      <c r="I185" s="301"/>
      <c r="J185" s="444"/>
      <c r="K185" s="201"/>
      <c r="L185" s="201"/>
      <c r="M185" s="201"/>
      <c r="N185" s="451"/>
    </row>
    <row r="186" spans="1:14" ht="15.5" x14ac:dyDescent="0.35">
      <c r="A186" s="539"/>
      <c r="B186" s="429"/>
      <c r="C186" s="446"/>
      <c r="D186" s="446"/>
      <c r="E186" s="446"/>
      <c r="F186" s="204"/>
      <c r="G186" s="205"/>
      <c r="H186" s="206" t="s">
        <v>211</v>
      </c>
      <c r="I186" s="207"/>
      <c r="J186" s="208"/>
      <c r="K186" s="209"/>
      <c r="L186" s="210">
        <f>SUM(L184:L184)</f>
        <v>0</v>
      </c>
      <c r="M186" s="210">
        <f>SUM(M184:M184)</f>
        <v>0</v>
      </c>
      <c r="N186" s="452"/>
    </row>
    <row r="187" spans="1:14" ht="15.5" x14ac:dyDescent="0.35">
      <c r="A187" s="539"/>
      <c r="B187" s="197"/>
      <c r="C187" s="445"/>
      <c r="D187" s="445"/>
      <c r="E187" s="445"/>
      <c r="F187" s="411"/>
      <c r="G187" s="412"/>
      <c r="H187" s="430"/>
      <c r="I187" s="413"/>
      <c r="J187" s="414"/>
      <c r="K187" s="415"/>
      <c r="L187" s="431"/>
      <c r="M187" s="431"/>
      <c r="N187" s="451"/>
    </row>
    <row r="188" spans="1:14" ht="29" x14ac:dyDescent="0.35">
      <c r="A188" s="539"/>
      <c r="B188" s="297"/>
      <c r="C188" s="188" t="s">
        <v>33</v>
      </c>
      <c r="D188" s="188" t="s">
        <v>165</v>
      </c>
      <c r="E188" s="442"/>
      <c r="F188" s="190" t="s">
        <v>182</v>
      </c>
      <c r="G188" s="191"/>
      <c r="H188" s="443" t="s">
        <v>323</v>
      </c>
      <c r="I188" s="301" t="s">
        <v>6</v>
      </c>
      <c r="J188" s="444">
        <v>1</v>
      </c>
      <c r="K188" s="201">
        <v>0</v>
      </c>
      <c r="L188" s="201">
        <f>K188*J188</f>
        <v>0</v>
      </c>
      <c r="M188" s="201">
        <v>0</v>
      </c>
      <c r="N188" s="196" t="s">
        <v>343</v>
      </c>
    </row>
    <row r="189" spans="1:14" x14ac:dyDescent="0.35">
      <c r="A189" s="539"/>
      <c r="B189" s="197"/>
      <c r="C189" s="445"/>
      <c r="D189" s="445"/>
      <c r="E189" s="445"/>
      <c r="F189" s="191"/>
      <c r="G189" s="191"/>
      <c r="H189" s="300"/>
      <c r="I189" s="301"/>
      <c r="J189" s="444"/>
      <c r="K189" s="201"/>
      <c r="L189" s="201"/>
      <c r="M189" s="201"/>
      <c r="N189" s="451"/>
    </row>
    <row r="190" spans="1:14" ht="15.5" x14ac:dyDescent="0.35">
      <c r="A190" s="539"/>
      <c r="B190" s="429"/>
      <c r="C190" s="446"/>
      <c r="D190" s="446"/>
      <c r="E190" s="446"/>
      <c r="F190" s="204"/>
      <c r="G190" s="205"/>
      <c r="H190" s="206" t="s">
        <v>211</v>
      </c>
      <c r="I190" s="207"/>
      <c r="J190" s="208"/>
      <c r="K190" s="209"/>
      <c r="L190" s="210">
        <f>SUM(L188:L188)</f>
        <v>0</v>
      </c>
      <c r="M190" s="210">
        <f>SUM(M188:M188)</f>
        <v>0</v>
      </c>
      <c r="N190" s="452"/>
    </row>
    <row r="191" spans="1:14" ht="15.5" x14ac:dyDescent="0.35">
      <c r="A191" s="539"/>
      <c r="B191" s="197"/>
      <c r="C191" s="445"/>
      <c r="D191" s="445"/>
      <c r="E191" s="445"/>
      <c r="F191" s="411"/>
      <c r="G191" s="412"/>
      <c r="H191" s="430"/>
      <c r="I191" s="413"/>
      <c r="J191" s="414"/>
      <c r="K191" s="415"/>
      <c r="L191" s="431"/>
      <c r="M191" s="431"/>
      <c r="N191" s="451"/>
    </row>
    <row r="192" spans="1:14" ht="29" x14ac:dyDescent="0.35">
      <c r="A192" s="539"/>
      <c r="B192" s="297"/>
      <c r="C192" s="188" t="s">
        <v>33</v>
      </c>
      <c r="D192" s="188" t="s">
        <v>166</v>
      </c>
      <c r="E192" s="442"/>
      <c r="F192" s="190" t="s">
        <v>179</v>
      </c>
      <c r="G192" s="191"/>
      <c r="H192" s="443" t="s">
        <v>323</v>
      </c>
      <c r="I192" s="301" t="s">
        <v>6</v>
      </c>
      <c r="J192" s="444">
        <v>1</v>
      </c>
      <c r="K192" s="201">
        <v>0</v>
      </c>
      <c r="L192" s="201">
        <f>K192*J192</f>
        <v>0</v>
      </c>
      <c r="M192" s="201">
        <v>0</v>
      </c>
      <c r="N192" s="196" t="s">
        <v>343</v>
      </c>
    </row>
    <row r="193" spans="1:14" x14ac:dyDescent="0.35">
      <c r="A193" s="539"/>
      <c r="B193" s="197"/>
      <c r="C193" s="445"/>
      <c r="D193" s="445"/>
      <c r="E193" s="445"/>
      <c r="F193" s="191"/>
      <c r="G193" s="191"/>
      <c r="H193" s="300"/>
      <c r="I193" s="301"/>
      <c r="J193" s="444"/>
      <c r="K193" s="201"/>
      <c r="L193" s="201"/>
      <c r="M193" s="201"/>
      <c r="N193" s="451"/>
    </row>
    <row r="194" spans="1:14" ht="15.5" x14ac:dyDescent="0.35">
      <c r="A194" s="539"/>
      <c r="B194" s="429"/>
      <c r="C194" s="446"/>
      <c r="D194" s="446"/>
      <c r="E194" s="446"/>
      <c r="F194" s="204"/>
      <c r="G194" s="205"/>
      <c r="H194" s="206" t="s">
        <v>211</v>
      </c>
      <c r="I194" s="207"/>
      <c r="J194" s="208"/>
      <c r="K194" s="209"/>
      <c r="L194" s="210">
        <f>SUM(L192:L192)</f>
        <v>0</v>
      </c>
      <c r="M194" s="210">
        <f>SUM(M192:M192)</f>
        <v>0</v>
      </c>
      <c r="N194" s="452"/>
    </row>
    <row r="195" spans="1:14" ht="15.5" x14ac:dyDescent="0.35">
      <c r="A195" s="539"/>
      <c r="B195" s="197"/>
      <c r="C195" s="445"/>
      <c r="D195" s="445"/>
      <c r="E195" s="445"/>
      <c r="F195" s="411"/>
      <c r="G195" s="412"/>
      <c r="H195" s="430"/>
      <c r="I195" s="413"/>
      <c r="J195" s="414"/>
      <c r="K195" s="415"/>
      <c r="L195" s="431"/>
      <c r="M195" s="431"/>
      <c r="N195" s="451"/>
    </row>
    <row r="196" spans="1:14" ht="29" x14ac:dyDescent="0.35">
      <c r="A196" s="539"/>
      <c r="B196" s="297"/>
      <c r="C196" s="188" t="s">
        <v>33</v>
      </c>
      <c r="D196" s="188" t="s">
        <v>167</v>
      </c>
      <c r="E196" s="442"/>
      <c r="F196" s="190" t="s">
        <v>178</v>
      </c>
      <c r="G196" s="191"/>
      <c r="H196" s="443" t="s">
        <v>323</v>
      </c>
      <c r="I196" s="301" t="s">
        <v>6</v>
      </c>
      <c r="J196" s="444">
        <v>1</v>
      </c>
      <c r="K196" s="201">
        <v>0</v>
      </c>
      <c r="L196" s="201">
        <f>K196*J196</f>
        <v>0</v>
      </c>
      <c r="M196" s="201">
        <v>0</v>
      </c>
      <c r="N196" s="196" t="s">
        <v>343</v>
      </c>
    </row>
    <row r="197" spans="1:14" x14ac:dyDescent="0.35">
      <c r="A197" s="539"/>
      <c r="B197" s="197"/>
      <c r="C197" s="445"/>
      <c r="D197" s="445"/>
      <c r="E197" s="445"/>
      <c r="F197" s="191"/>
      <c r="G197" s="191"/>
      <c r="H197" s="300"/>
      <c r="I197" s="301"/>
      <c r="J197" s="444"/>
      <c r="K197" s="201"/>
      <c r="L197" s="201"/>
      <c r="M197" s="201"/>
      <c r="N197" s="451"/>
    </row>
    <row r="198" spans="1:14" ht="15.5" x14ac:dyDescent="0.35">
      <c r="A198" s="539"/>
      <c r="B198" s="429"/>
      <c r="C198" s="446"/>
      <c r="D198" s="446"/>
      <c r="E198" s="446"/>
      <c r="F198" s="204"/>
      <c r="G198" s="205"/>
      <c r="H198" s="206" t="s">
        <v>211</v>
      </c>
      <c r="I198" s="207"/>
      <c r="J198" s="208"/>
      <c r="K198" s="209"/>
      <c r="L198" s="210">
        <f>SUM(L196:L196)</f>
        <v>0</v>
      </c>
      <c r="M198" s="210">
        <f>SUM(M196:M196)</f>
        <v>0</v>
      </c>
      <c r="N198" s="452"/>
    </row>
    <row r="199" spans="1:14" ht="15.5" x14ac:dyDescent="0.35">
      <c r="A199" s="539"/>
      <c r="B199" s="197"/>
      <c r="C199" s="445"/>
      <c r="D199" s="445"/>
      <c r="E199" s="445"/>
      <c r="F199" s="411"/>
      <c r="G199" s="412"/>
      <c r="H199" s="430"/>
      <c r="I199" s="413"/>
      <c r="J199" s="414"/>
      <c r="K199" s="415"/>
      <c r="L199" s="431"/>
      <c r="M199" s="431"/>
      <c r="N199" s="451"/>
    </row>
    <row r="200" spans="1:14" ht="29" x14ac:dyDescent="0.35">
      <c r="A200" s="539"/>
      <c r="B200" s="297"/>
      <c r="C200" s="188" t="s">
        <v>33</v>
      </c>
      <c r="D200" s="188" t="s">
        <v>168</v>
      </c>
      <c r="E200" s="442"/>
      <c r="F200" s="190" t="s">
        <v>177</v>
      </c>
      <c r="G200" s="191"/>
      <c r="H200" s="443" t="s">
        <v>323</v>
      </c>
      <c r="I200" s="301" t="s">
        <v>6</v>
      </c>
      <c r="J200" s="444">
        <v>1</v>
      </c>
      <c r="K200" s="201">
        <v>0</v>
      </c>
      <c r="L200" s="201">
        <f>K200*J200</f>
        <v>0</v>
      </c>
      <c r="M200" s="201">
        <v>0</v>
      </c>
      <c r="N200" s="196" t="s">
        <v>343</v>
      </c>
    </row>
    <row r="201" spans="1:14" x14ac:dyDescent="0.35">
      <c r="A201" s="539"/>
      <c r="B201" s="197"/>
      <c r="C201" s="445"/>
      <c r="D201" s="445"/>
      <c r="E201" s="445"/>
      <c r="F201" s="191"/>
      <c r="G201" s="191"/>
      <c r="H201" s="300"/>
      <c r="I201" s="301"/>
      <c r="J201" s="444"/>
      <c r="K201" s="201"/>
      <c r="L201" s="201"/>
      <c r="M201" s="201"/>
      <c r="N201" s="451"/>
    </row>
    <row r="202" spans="1:14" ht="15.5" x14ac:dyDescent="0.35">
      <c r="A202" s="539"/>
      <c r="B202" s="429"/>
      <c r="C202" s="446"/>
      <c r="D202" s="446"/>
      <c r="E202" s="446"/>
      <c r="F202" s="204"/>
      <c r="G202" s="205"/>
      <c r="H202" s="206" t="s">
        <v>211</v>
      </c>
      <c r="I202" s="207"/>
      <c r="J202" s="208"/>
      <c r="K202" s="209"/>
      <c r="L202" s="210">
        <f>SUM(L200:L200)</f>
        <v>0</v>
      </c>
      <c r="M202" s="210">
        <f>SUM(M200:M200)</f>
        <v>0</v>
      </c>
      <c r="N202" s="452"/>
    </row>
    <row r="203" spans="1:14" ht="15.5" x14ac:dyDescent="0.35">
      <c r="A203" s="539"/>
      <c r="B203" s="197"/>
      <c r="C203" s="445"/>
      <c r="D203" s="445"/>
      <c r="E203" s="445"/>
      <c r="F203" s="411"/>
      <c r="G203" s="412"/>
      <c r="H203" s="430"/>
      <c r="I203" s="413"/>
      <c r="J203" s="414"/>
      <c r="K203" s="415"/>
      <c r="L203" s="431"/>
      <c r="M203" s="431"/>
      <c r="N203" s="451"/>
    </row>
    <row r="204" spans="1:14" ht="29" x14ac:dyDescent="0.35">
      <c r="A204" s="539"/>
      <c r="B204" s="297"/>
      <c r="C204" s="188" t="s">
        <v>33</v>
      </c>
      <c r="D204" s="188" t="s">
        <v>169</v>
      </c>
      <c r="E204" s="442"/>
      <c r="F204" s="190" t="s">
        <v>176</v>
      </c>
      <c r="G204" s="191"/>
      <c r="H204" s="443" t="s">
        <v>323</v>
      </c>
      <c r="I204" s="301" t="s">
        <v>6</v>
      </c>
      <c r="J204" s="444">
        <v>1</v>
      </c>
      <c r="K204" s="201">
        <v>0</v>
      </c>
      <c r="L204" s="201">
        <f>K204*J204</f>
        <v>0</v>
      </c>
      <c r="M204" s="201">
        <v>0</v>
      </c>
      <c r="N204" s="196" t="s">
        <v>343</v>
      </c>
    </row>
    <row r="205" spans="1:14" x14ac:dyDescent="0.35">
      <c r="A205" s="539"/>
      <c r="B205" s="197"/>
      <c r="C205" s="445"/>
      <c r="D205" s="445"/>
      <c r="E205" s="445"/>
      <c r="F205" s="191"/>
      <c r="G205" s="191"/>
      <c r="H205" s="300"/>
      <c r="I205" s="301"/>
      <c r="J205" s="444"/>
      <c r="K205" s="201"/>
      <c r="L205" s="201"/>
      <c r="M205" s="201"/>
      <c r="N205" s="451"/>
    </row>
    <row r="206" spans="1:14" ht="15.5" x14ac:dyDescent="0.35">
      <c r="A206" s="539"/>
      <c r="B206" s="429"/>
      <c r="C206" s="446"/>
      <c r="D206" s="446"/>
      <c r="E206" s="446"/>
      <c r="F206" s="204"/>
      <c r="G206" s="205"/>
      <c r="H206" s="206" t="s">
        <v>211</v>
      </c>
      <c r="I206" s="207"/>
      <c r="J206" s="208"/>
      <c r="K206" s="209"/>
      <c r="L206" s="210">
        <f>SUM(L204:L204)</f>
        <v>0</v>
      </c>
      <c r="M206" s="210">
        <f>SUM(M204:M204)</f>
        <v>0</v>
      </c>
      <c r="N206" s="452"/>
    </row>
    <row r="207" spans="1:14" ht="15.5" x14ac:dyDescent="0.35">
      <c r="A207" s="539"/>
      <c r="B207" s="197"/>
      <c r="C207" s="445"/>
      <c r="D207" s="445"/>
      <c r="E207" s="445"/>
      <c r="F207" s="411"/>
      <c r="G207" s="412"/>
      <c r="H207" s="430"/>
      <c r="I207" s="413"/>
      <c r="J207" s="414"/>
      <c r="K207" s="415"/>
      <c r="L207" s="431"/>
      <c r="M207" s="431"/>
      <c r="N207" s="451"/>
    </row>
    <row r="208" spans="1:14" ht="29" x14ac:dyDescent="0.35">
      <c r="A208" s="539"/>
      <c r="B208" s="297"/>
      <c r="C208" s="188" t="s">
        <v>33</v>
      </c>
      <c r="D208" s="188" t="s">
        <v>186</v>
      </c>
      <c r="E208" s="442"/>
      <c r="F208" s="190" t="s">
        <v>349</v>
      </c>
      <c r="G208" s="191"/>
      <c r="H208" s="443" t="s">
        <v>323</v>
      </c>
      <c r="I208" s="301" t="s">
        <v>6</v>
      </c>
      <c r="J208" s="444">
        <v>1</v>
      </c>
      <c r="K208" s="201">
        <v>0</v>
      </c>
      <c r="L208" s="201">
        <f>K208*J208</f>
        <v>0</v>
      </c>
      <c r="M208" s="201">
        <v>0</v>
      </c>
      <c r="N208" s="196" t="s">
        <v>343</v>
      </c>
    </row>
    <row r="209" spans="1:14" x14ac:dyDescent="0.35">
      <c r="A209" s="539"/>
      <c r="B209" s="197"/>
      <c r="C209" s="445"/>
      <c r="D209" s="445"/>
      <c r="E209" s="445"/>
      <c r="F209" s="191"/>
      <c r="G209" s="191"/>
      <c r="H209" s="300"/>
      <c r="I209" s="301"/>
      <c r="J209" s="444"/>
      <c r="K209" s="201"/>
      <c r="L209" s="201"/>
      <c r="M209" s="201"/>
      <c r="N209" s="451"/>
    </row>
    <row r="210" spans="1:14" ht="15.5" x14ac:dyDescent="0.35">
      <c r="A210" s="539"/>
      <c r="B210" s="429"/>
      <c r="C210" s="446"/>
      <c r="D210" s="446"/>
      <c r="E210" s="446"/>
      <c r="F210" s="204"/>
      <c r="G210" s="205"/>
      <c r="H210" s="206" t="s">
        <v>211</v>
      </c>
      <c r="I210" s="207"/>
      <c r="J210" s="208"/>
      <c r="K210" s="209"/>
      <c r="L210" s="210">
        <f>SUM(L208:L208)</f>
        <v>0</v>
      </c>
      <c r="M210" s="210">
        <f>SUM(M208:M208)</f>
        <v>0</v>
      </c>
      <c r="N210" s="452"/>
    </row>
    <row r="211" spans="1:14" ht="15.5" x14ac:dyDescent="0.35">
      <c r="A211" s="539"/>
      <c r="B211" s="197"/>
      <c r="C211" s="445"/>
      <c r="D211" s="445"/>
      <c r="E211" s="445"/>
      <c r="F211" s="411"/>
      <c r="G211" s="412"/>
      <c r="H211" s="430"/>
      <c r="I211" s="413"/>
      <c r="J211" s="414"/>
      <c r="K211" s="415"/>
      <c r="L211" s="431"/>
      <c r="M211" s="431"/>
      <c r="N211" s="451"/>
    </row>
    <row r="212" spans="1:14" ht="29" x14ac:dyDescent="0.35">
      <c r="A212" s="539"/>
      <c r="B212" s="297"/>
      <c r="C212" s="188" t="s">
        <v>33</v>
      </c>
      <c r="D212" s="188" t="s">
        <v>187</v>
      </c>
      <c r="E212" s="442"/>
      <c r="F212" s="190" t="s">
        <v>328</v>
      </c>
      <c r="G212" s="191"/>
      <c r="H212" s="443" t="s">
        <v>323</v>
      </c>
      <c r="I212" s="301" t="s">
        <v>6</v>
      </c>
      <c r="J212" s="444">
        <v>1</v>
      </c>
      <c r="K212" s="201">
        <v>0</v>
      </c>
      <c r="L212" s="201">
        <f>K212*J212</f>
        <v>0</v>
      </c>
      <c r="M212" s="201">
        <v>0</v>
      </c>
      <c r="N212" s="196" t="s">
        <v>343</v>
      </c>
    </row>
    <row r="213" spans="1:14" x14ac:dyDescent="0.35">
      <c r="A213" s="539"/>
      <c r="B213" s="197"/>
      <c r="C213" s="445"/>
      <c r="D213" s="445"/>
      <c r="E213" s="445"/>
      <c r="F213" s="191"/>
      <c r="G213" s="191"/>
      <c r="H213" s="300"/>
      <c r="I213" s="301"/>
      <c r="J213" s="444"/>
      <c r="K213" s="201"/>
      <c r="L213" s="201"/>
      <c r="M213" s="201"/>
      <c r="N213" s="451"/>
    </row>
    <row r="214" spans="1:14" ht="15.5" x14ac:dyDescent="0.35">
      <c r="A214" s="539"/>
      <c r="B214" s="429"/>
      <c r="C214" s="446"/>
      <c r="D214" s="446"/>
      <c r="E214" s="446"/>
      <c r="F214" s="204"/>
      <c r="G214" s="205"/>
      <c r="H214" s="206" t="s">
        <v>211</v>
      </c>
      <c r="I214" s="207"/>
      <c r="J214" s="208"/>
      <c r="K214" s="209"/>
      <c r="L214" s="210">
        <f>SUM(L212:L212)</f>
        <v>0</v>
      </c>
      <c r="M214" s="210">
        <f>SUM(M212:M212)</f>
        <v>0</v>
      </c>
      <c r="N214" s="452"/>
    </row>
    <row r="215" spans="1:14" ht="15.5" x14ac:dyDescent="0.35">
      <c r="A215" s="539"/>
      <c r="B215" s="197"/>
      <c r="C215" s="445"/>
      <c r="D215" s="445"/>
      <c r="E215" s="445"/>
      <c r="F215" s="411"/>
      <c r="G215" s="412"/>
      <c r="H215" s="430"/>
      <c r="I215" s="413"/>
      <c r="J215" s="414"/>
      <c r="K215" s="415"/>
      <c r="L215" s="431"/>
      <c r="M215" s="431"/>
      <c r="N215" s="451"/>
    </row>
    <row r="216" spans="1:14" ht="29" x14ac:dyDescent="0.35">
      <c r="A216" s="539"/>
      <c r="B216" s="297"/>
      <c r="C216" s="188" t="s">
        <v>33</v>
      </c>
      <c r="D216" s="188" t="s">
        <v>188</v>
      </c>
      <c r="E216" s="442"/>
      <c r="F216" s="190" t="s">
        <v>329</v>
      </c>
      <c r="G216" s="191"/>
      <c r="H216" s="443" t="s">
        <v>323</v>
      </c>
      <c r="I216" s="301" t="s">
        <v>6</v>
      </c>
      <c r="J216" s="444">
        <v>1</v>
      </c>
      <c r="K216" s="201">
        <v>0</v>
      </c>
      <c r="L216" s="201">
        <f>K216*J216</f>
        <v>0</v>
      </c>
      <c r="M216" s="201">
        <v>0</v>
      </c>
      <c r="N216" s="196" t="s">
        <v>343</v>
      </c>
    </row>
    <row r="217" spans="1:14" x14ac:dyDescent="0.35">
      <c r="A217" s="539"/>
      <c r="B217" s="197"/>
      <c r="C217" s="445"/>
      <c r="D217" s="445"/>
      <c r="E217" s="445"/>
      <c r="F217" s="191"/>
      <c r="G217" s="191"/>
      <c r="H217" s="300"/>
      <c r="I217" s="301"/>
      <c r="J217" s="444"/>
      <c r="K217" s="201"/>
      <c r="L217" s="201"/>
      <c r="M217" s="201"/>
      <c r="N217" s="451"/>
    </row>
    <row r="218" spans="1:14" ht="15.5" x14ac:dyDescent="0.35">
      <c r="A218" s="539"/>
      <c r="B218" s="429"/>
      <c r="C218" s="203"/>
      <c r="D218" s="203"/>
      <c r="E218" s="203"/>
      <c r="F218" s="204"/>
      <c r="G218" s="205"/>
      <c r="H218" s="206" t="s">
        <v>211</v>
      </c>
      <c r="I218" s="207"/>
      <c r="J218" s="208"/>
      <c r="K218" s="209"/>
      <c r="L218" s="210">
        <f>SUM(L216:L216)</f>
        <v>0</v>
      </c>
      <c r="M218" s="210">
        <f>SUM(M216:M216)</f>
        <v>0</v>
      </c>
      <c r="N218" s="211"/>
    </row>
    <row r="219" spans="1:14" ht="15" thickBot="1" x14ac:dyDescent="0.4">
      <c r="A219" s="539"/>
      <c r="B219" s="197"/>
      <c r="C219" s="199"/>
      <c r="D219" s="199"/>
      <c r="E219" s="199"/>
      <c r="F219" s="199"/>
      <c r="G219" s="199"/>
      <c r="H219" s="222"/>
      <c r="I219" s="222"/>
      <c r="J219" s="223"/>
      <c r="K219" s="222"/>
      <c r="L219" s="222"/>
      <c r="M219" s="222"/>
      <c r="N219" s="196"/>
    </row>
    <row r="220" spans="1:14" ht="21.5" thickBot="1" x14ac:dyDescent="0.4">
      <c r="A220" s="539"/>
      <c r="B220" s="526" t="s">
        <v>29</v>
      </c>
      <c r="C220" s="527"/>
      <c r="D220" s="527"/>
      <c r="E220" s="527"/>
      <c r="F220" s="527"/>
      <c r="G220" s="224"/>
      <c r="H220" s="224" t="s">
        <v>211</v>
      </c>
      <c r="I220" s="225"/>
      <c r="J220" s="226"/>
      <c r="K220" s="227"/>
      <c r="L220" s="228">
        <f>L158+L162+L166+L170+L174+L178+L182+L186+L190+L194+L198+L202+L206+L210+L214+L218</f>
        <v>0</v>
      </c>
      <c r="M220" s="228">
        <f>M158+M162+M166+M170+M174+M178+M182+M186+M190+M194+M198+M202+M206+M210+M214+M218</f>
        <v>0</v>
      </c>
      <c r="N220" s="305"/>
    </row>
    <row r="221" spans="1:14" ht="19" thickBot="1" x14ac:dyDescent="0.4">
      <c r="A221" s="542"/>
      <c r="B221" s="230"/>
      <c r="C221" s="231"/>
      <c r="D221" s="231"/>
      <c r="E221" s="232"/>
      <c r="F221" s="233"/>
      <c r="G221" s="233"/>
      <c r="H221" s="234"/>
      <c r="I221" s="235"/>
      <c r="J221" s="236"/>
      <c r="K221" s="280"/>
      <c r="L221" s="281"/>
      <c r="M221" s="278"/>
      <c r="N221" s="291"/>
    </row>
  </sheetData>
  <sheetProtection sheet="1" objects="1" scenarios="1"/>
  <mergeCells count="19">
    <mergeCell ref="A2:N2"/>
    <mergeCell ref="A5:G5"/>
    <mergeCell ref="A6:G6"/>
    <mergeCell ref="A7:G7"/>
    <mergeCell ref="A113:A131"/>
    <mergeCell ref="B130:F130"/>
    <mergeCell ref="A9:G9"/>
    <mergeCell ref="F12:G12"/>
    <mergeCell ref="C12:D12"/>
    <mergeCell ref="A10:K10"/>
    <mergeCell ref="B111:F111"/>
    <mergeCell ref="A14:A112"/>
    <mergeCell ref="A139:A154"/>
    <mergeCell ref="B153:F153"/>
    <mergeCell ref="A155:A221"/>
    <mergeCell ref="B220:F220"/>
    <mergeCell ref="A8:G8"/>
    <mergeCell ref="A132:A138"/>
    <mergeCell ref="B137:F137"/>
  </mergeCells>
  <pageMargins left="0.16" right="0.23622047244094491" top="0.31496062992125984" bottom="0.27559055118110237" header="0.23622047244094491" footer="0.11811023622047245"/>
  <pageSetup paperSize="9" scale="42" firstPageNumber="14" fitToHeight="0" orientation="landscape" useFirstPageNumber="1" horizontalDpi="1200" verticalDpi="1200" r:id="rId1"/>
  <headerFooter>
    <oddFooter>&amp;C&amp;P</oddFooter>
  </headerFooter>
  <ignoredErrors>
    <ignoredError sqref="D204 D208 D212 D216" twoDigitTextYea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98"/>
  <sheetViews>
    <sheetView zoomScale="60" zoomScaleNormal="60" zoomScalePageLayoutView="70" workbookViewId="0">
      <selection activeCell="K15" sqref="K15"/>
    </sheetView>
  </sheetViews>
  <sheetFormatPr defaultColWidth="9.1796875" defaultRowHeight="14.5" x14ac:dyDescent="0.35"/>
  <cols>
    <col min="1" max="1" width="5" style="7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0.26953125" style="2" customWidth="1"/>
    <col min="8" max="8" width="55.7265625" style="7" customWidth="1"/>
    <col min="9" max="11" width="13.7265625" style="7" customWidth="1"/>
    <col min="12" max="13" width="25.7265625" style="7" customWidth="1"/>
    <col min="14" max="14" width="90.7265625" style="7" customWidth="1"/>
    <col min="15" max="16384" width="9.1796875" style="7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89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9" thickBot="1" x14ac:dyDescent="0.4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L53</f>
        <v>0</v>
      </c>
      <c r="M5" s="170">
        <f>M53</f>
        <v>0</v>
      </c>
      <c r="N5" s="169"/>
    </row>
    <row r="6" spans="1:14" ht="19" hidden="1" thickBot="1" x14ac:dyDescent="0.4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L60</f>
        <v>0</v>
      </c>
      <c r="M6" s="170">
        <f>M60</f>
        <v>0</v>
      </c>
      <c r="N6" s="169"/>
    </row>
    <row r="7" spans="1:14" ht="19" hidden="1" thickBot="1" x14ac:dyDescent="0.4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L67</f>
        <v>0</v>
      </c>
      <c r="M7" s="170">
        <f>M67</f>
        <v>0</v>
      </c>
      <c r="N7" s="169"/>
    </row>
    <row r="8" spans="1:14" ht="19" hidden="1" thickBot="1" x14ac:dyDescent="0.4">
      <c r="A8" s="517" t="s">
        <v>28</v>
      </c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L80</f>
        <v>0</v>
      </c>
      <c r="M8" s="170">
        <f>M80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L87</f>
        <v>0</v>
      </c>
      <c r="M9" s="170">
        <f>M87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160" customFormat="1" ht="15" customHeight="1" thickBot="1" x14ac:dyDescent="0.4">
      <c r="A13" s="406"/>
      <c r="B13" s="407"/>
      <c r="C13" s="408"/>
      <c r="D13" s="408"/>
      <c r="E13" s="253"/>
      <c r="F13" s="409"/>
      <c r="G13" s="409"/>
      <c r="H13" s="409"/>
      <c r="I13" s="409"/>
      <c r="J13" s="409"/>
      <c r="K13" s="409"/>
      <c r="L13" s="409"/>
      <c r="M13" s="409"/>
      <c r="N13" s="409"/>
    </row>
    <row r="14" spans="1:14" ht="14" customHeight="1" x14ac:dyDescent="0.35">
      <c r="A14" s="546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3"/>
      <c r="L14" s="183"/>
      <c r="M14" s="183"/>
      <c r="N14" s="186"/>
    </row>
    <row r="15" spans="1:14" ht="246.5" x14ac:dyDescent="0.35">
      <c r="A15" s="547"/>
      <c r="B15" s="216"/>
      <c r="C15" s="188" t="s">
        <v>10</v>
      </c>
      <c r="D15" s="188" t="s">
        <v>51</v>
      </c>
      <c r="E15" s="189"/>
      <c r="F15" s="190" t="s">
        <v>251</v>
      </c>
      <c r="G15" s="191" t="s">
        <v>34</v>
      </c>
      <c r="H15" s="221" t="s">
        <v>314</v>
      </c>
      <c r="I15" s="193" t="s">
        <v>6</v>
      </c>
      <c r="J15" s="194">
        <v>1</v>
      </c>
      <c r="K15" s="98"/>
      <c r="L15" s="195">
        <f>K15*J15</f>
        <v>0</v>
      </c>
      <c r="M15" s="98"/>
      <c r="N15" s="196"/>
    </row>
    <row r="16" spans="1:14" x14ac:dyDescent="0.35">
      <c r="A16" s="547"/>
      <c r="B16" s="197"/>
      <c r="C16" s="199"/>
      <c r="D16" s="199"/>
      <c r="E16" s="199"/>
      <c r="F16" s="200"/>
      <c r="G16" s="200"/>
      <c r="H16" s="192"/>
      <c r="I16" s="193"/>
      <c r="J16" s="194"/>
      <c r="K16" s="195"/>
      <c r="L16" s="195"/>
      <c r="M16" s="195"/>
      <c r="N16" s="196"/>
    </row>
    <row r="17" spans="1:14" ht="15.5" x14ac:dyDescent="0.35">
      <c r="A17" s="547"/>
      <c r="B17" s="429"/>
      <c r="C17" s="203"/>
      <c r="D17" s="203"/>
      <c r="E17" s="203"/>
      <c r="F17" s="204"/>
      <c r="G17" s="205"/>
      <c r="H17" s="206" t="s">
        <v>211</v>
      </c>
      <c r="I17" s="207"/>
      <c r="J17" s="208"/>
      <c r="K17" s="209"/>
      <c r="L17" s="210">
        <f>SUM(L15:L15)</f>
        <v>0</v>
      </c>
      <c r="M17" s="210">
        <f>SUM(M15:M15)</f>
        <v>0</v>
      </c>
      <c r="N17" s="211"/>
    </row>
    <row r="18" spans="1:14" ht="18.75" customHeight="1" x14ac:dyDescent="0.35">
      <c r="A18" s="547"/>
      <c r="B18" s="197"/>
      <c r="C18" s="198"/>
      <c r="D18" s="198"/>
      <c r="E18" s="199"/>
      <c r="F18" s="200"/>
      <c r="G18" s="200"/>
      <c r="H18" s="222"/>
      <c r="I18" s="193"/>
      <c r="J18" s="194"/>
      <c r="K18" s="195"/>
      <c r="L18" s="195"/>
      <c r="M18" s="195"/>
      <c r="N18" s="196"/>
    </row>
    <row r="19" spans="1:14" ht="54.65" customHeight="1" x14ac:dyDescent="0.35">
      <c r="A19" s="547"/>
      <c r="B19" s="216"/>
      <c r="C19" s="188" t="s">
        <v>10</v>
      </c>
      <c r="D19" s="188" t="s">
        <v>52</v>
      </c>
      <c r="E19" s="189"/>
      <c r="F19" s="190" t="s">
        <v>127</v>
      </c>
      <c r="G19" s="191" t="s">
        <v>34</v>
      </c>
      <c r="H19" s="221" t="s">
        <v>252</v>
      </c>
      <c r="I19" s="193" t="s">
        <v>6</v>
      </c>
      <c r="J19" s="194">
        <v>22</v>
      </c>
      <c r="K19" s="98"/>
      <c r="L19" s="195">
        <f>K19*J19</f>
        <v>0</v>
      </c>
      <c r="M19" s="98"/>
      <c r="N19" s="196" t="s">
        <v>191</v>
      </c>
    </row>
    <row r="20" spans="1:14" ht="18.5" x14ac:dyDescent="0.35">
      <c r="A20" s="547"/>
      <c r="B20" s="197"/>
      <c r="C20" s="198"/>
      <c r="D20" s="198"/>
      <c r="E20" s="199"/>
      <c r="F20" s="200"/>
      <c r="G20" s="191"/>
      <c r="H20" s="192"/>
      <c r="I20" s="193"/>
      <c r="J20" s="194"/>
      <c r="K20" s="195"/>
      <c r="L20" s="195"/>
      <c r="M20" s="195"/>
      <c r="N20" s="196"/>
    </row>
    <row r="21" spans="1:14" ht="15.5" x14ac:dyDescent="0.35">
      <c r="A21" s="547"/>
      <c r="B21" s="429"/>
      <c r="C21" s="203"/>
      <c r="D21" s="203"/>
      <c r="E21" s="203"/>
      <c r="F21" s="204"/>
      <c r="G21" s="205"/>
      <c r="H21" s="206" t="s">
        <v>211</v>
      </c>
      <c r="I21" s="207"/>
      <c r="J21" s="208"/>
      <c r="K21" s="209"/>
      <c r="L21" s="210">
        <f>SUM(L19)</f>
        <v>0</v>
      </c>
      <c r="M21" s="210">
        <f>SUM(M19)</f>
        <v>0</v>
      </c>
      <c r="N21" s="211"/>
    </row>
    <row r="22" spans="1:14" x14ac:dyDescent="0.35">
      <c r="A22" s="547"/>
      <c r="B22" s="197"/>
      <c r="C22" s="199"/>
      <c r="D22" s="199"/>
      <c r="E22" s="199"/>
      <c r="F22" s="199"/>
      <c r="G22" s="199"/>
      <c r="H22" s="222"/>
      <c r="I22" s="222"/>
      <c r="J22" s="223"/>
      <c r="K22" s="222"/>
      <c r="L22" s="222"/>
      <c r="M22" s="222"/>
      <c r="N22" s="196"/>
    </row>
    <row r="23" spans="1:14" ht="72.5" x14ac:dyDescent="0.35">
      <c r="A23" s="547"/>
      <c r="B23" s="216"/>
      <c r="C23" s="188" t="s">
        <v>10</v>
      </c>
      <c r="D23" s="188" t="s">
        <v>53</v>
      </c>
      <c r="E23" s="433" t="s">
        <v>110</v>
      </c>
      <c r="F23" s="190" t="s">
        <v>250</v>
      </c>
      <c r="G23" s="191" t="s">
        <v>34</v>
      </c>
      <c r="H23" s="221" t="s">
        <v>313</v>
      </c>
      <c r="I23" s="193" t="s">
        <v>6</v>
      </c>
      <c r="J23" s="194">
        <v>5</v>
      </c>
      <c r="K23" s="98"/>
      <c r="L23" s="195">
        <f>K23*J23</f>
        <v>0</v>
      </c>
      <c r="M23" s="98"/>
      <c r="N23" s="196" t="s">
        <v>145</v>
      </c>
    </row>
    <row r="24" spans="1:14" ht="18.5" x14ac:dyDescent="0.35">
      <c r="A24" s="547"/>
      <c r="B24" s="197"/>
      <c r="C24" s="198"/>
      <c r="D24" s="198"/>
      <c r="E24" s="199"/>
      <c r="F24" s="200"/>
      <c r="G24" s="191"/>
      <c r="H24" s="192"/>
      <c r="I24" s="193"/>
      <c r="J24" s="194"/>
      <c r="K24" s="195"/>
      <c r="L24" s="195"/>
      <c r="M24" s="195"/>
      <c r="N24" s="196"/>
    </row>
    <row r="25" spans="1:14" ht="15.5" x14ac:dyDescent="0.35">
      <c r="A25" s="547"/>
      <c r="B25" s="429"/>
      <c r="C25" s="203"/>
      <c r="D25" s="203"/>
      <c r="E25" s="203"/>
      <c r="F25" s="204"/>
      <c r="G25" s="205"/>
      <c r="H25" s="206" t="s">
        <v>211</v>
      </c>
      <c r="I25" s="207"/>
      <c r="J25" s="208"/>
      <c r="K25" s="209"/>
      <c r="L25" s="210">
        <f>SUM(L23:L24)</f>
        <v>0</v>
      </c>
      <c r="M25" s="210">
        <f>SUM(M23)</f>
        <v>0</v>
      </c>
      <c r="N25" s="211"/>
    </row>
    <row r="26" spans="1:14" s="23" customFormat="1" x14ac:dyDescent="0.35">
      <c r="A26" s="547"/>
      <c r="B26" s="197"/>
      <c r="C26" s="199"/>
      <c r="D26" s="199"/>
      <c r="E26" s="199"/>
      <c r="F26" s="199"/>
      <c r="G26" s="199"/>
      <c r="H26" s="222"/>
      <c r="I26" s="222"/>
      <c r="J26" s="223"/>
      <c r="K26" s="222"/>
      <c r="L26" s="222"/>
      <c r="M26" s="222"/>
      <c r="N26" s="196"/>
    </row>
    <row r="27" spans="1:14" s="23" customFormat="1" ht="58" x14ac:dyDescent="0.35">
      <c r="A27" s="547"/>
      <c r="B27" s="216"/>
      <c r="C27" s="188" t="s">
        <v>10</v>
      </c>
      <c r="D27" s="188" t="s">
        <v>53</v>
      </c>
      <c r="E27" s="433" t="s">
        <v>115</v>
      </c>
      <c r="F27" s="190" t="s">
        <v>249</v>
      </c>
      <c r="G27" s="191" t="s">
        <v>34</v>
      </c>
      <c r="H27" s="221" t="s">
        <v>347</v>
      </c>
      <c r="I27" s="193" t="s">
        <v>6</v>
      </c>
      <c r="J27" s="194">
        <v>5</v>
      </c>
      <c r="K27" s="98"/>
      <c r="L27" s="195">
        <f>K27*J27</f>
        <v>0</v>
      </c>
      <c r="M27" s="98"/>
      <c r="N27" s="196" t="s">
        <v>145</v>
      </c>
    </row>
    <row r="28" spans="1:14" s="23" customFormat="1" ht="58" x14ac:dyDescent="0.35">
      <c r="A28" s="547"/>
      <c r="B28" s="217"/>
      <c r="C28" s="218"/>
      <c r="D28" s="218"/>
      <c r="E28" s="218"/>
      <c r="F28" s="220"/>
      <c r="G28" s="191"/>
      <c r="H28" s="221" t="s">
        <v>253</v>
      </c>
      <c r="I28" s="193" t="s">
        <v>6</v>
      </c>
      <c r="J28" s="194">
        <v>5</v>
      </c>
      <c r="K28" s="98"/>
      <c r="L28" s="195">
        <f>K28*J28</f>
        <v>0</v>
      </c>
      <c r="M28" s="98"/>
      <c r="N28" s="196" t="s">
        <v>254</v>
      </c>
    </row>
    <row r="29" spans="1:14" s="23" customFormat="1" ht="18.5" x14ac:dyDescent="0.35">
      <c r="A29" s="547"/>
      <c r="B29" s="197"/>
      <c r="C29" s="198"/>
      <c r="D29" s="198"/>
      <c r="E29" s="199"/>
      <c r="F29" s="200"/>
      <c r="G29" s="191"/>
      <c r="H29" s="192"/>
      <c r="I29" s="193"/>
      <c r="J29" s="194"/>
      <c r="K29" s="195"/>
      <c r="L29" s="195"/>
      <c r="M29" s="195"/>
      <c r="N29" s="196"/>
    </row>
    <row r="30" spans="1:14" s="23" customFormat="1" ht="15.5" x14ac:dyDescent="0.35">
      <c r="A30" s="547"/>
      <c r="B30" s="429"/>
      <c r="C30" s="203"/>
      <c r="D30" s="203"/>
      <c r="E30" s="203"/>
      <c r="F30" s="204"/>
      <c r="G30" s="205"/>
      <c r="H30" s="206" t="s">
        <v>211</v>
      </c>
      <c r="I30" s="207"/>
      <c r="J30" s="208"/>
      <c r="K30" s="209"/>
      <c r="L30" s="210">
        <f>SUM(L27:L28)</f>
        <v>0</v>
      </c>
      <c r="M30" s="210">
        <f>SUM(M27:M28)</f>
        <v>0</v>
      </c>
      <c r="N30" s="211"/>
    </row>
    <row r="31" spans="1:14" s="23" customFormat="1" x14ac:dyDescent="0.35">
      <c r="A31" s="547"/>
      <c r="B31" s="197"/>
      <c r="C31" s="199"/>
      <c r="D31" s="199"/>
      <c r="E31" s="199"/>
      <c r="F31" s="199"/>
      <c r="G31" s="199"/>
      <c r="H31" s="222"/>
      <c r="I31" s="222"/>
      <c r="J31" s="223"/>
      <c r="K31" s="222"/>
      <c r="L31" s="222"/>
      <c r="M31" s="222"/>
      <c r="N31" s="196"/>
    </row>
    <row r="32" spans="1:14" s="23" customFormat="1" ht="58" x14ac:dyDescent="0.35">
      <c r="A32" s="547"/>
      <c r="B32" s="216"/>
      <c r="C32" s="188" t="s">
        <v>10</v>
      </c>
      <c r="D32" s="188" t="s">
        <v>55</v>
      </c>
      <c r="E32" s="433"/>
      <c r="F32" s="190" t="s">
        <v>248</v>
      </c>
      <c r="G32" s="191" t="s">
        <v>34</v>
      </c>
      <c r="H32" s="221" t="s">
        <v>348</v>
      </c>
      <c r="I32" s="193" t="s">
        <v>6</v>
      </c>
      <c r="J32" s="194">
        <v>20</v>
      </c>
      <c r="K32" s="98"/>
      <c r="L32" s="195">
        <f>K32*J32</f>
        <v>0</v>
      </c>
      <c r="M32" s="98"/>
      <c r="N32" s="196" t="s">
        <v>145</v>
      </c>
    </row>
    <row r="33" spans="1:14" s="23" customFormat="1" ht="58" x14ac:dyDescent="0.35">
      <c r="A33" s="547"/>
      <c r="B33" s="217"/>
      <c r="C33" s="218"/>
      <c r="D33" s="218"/>
      <c r="E33" s="218"/>
      <c r="F33" s="220"/>
      <c r="G33" s="191"/>
      <c r="H33" s="221" t="s">
        <v>296</v>
      </c>
      <c r="I33" s="193" t="s">
        <v>6</v>
      </c>
      <c r="J33" s="194">
        <v>10</v>
      </c>
      <c r="K33" s="98"/>
      <c r="L33" s="195">
        <f>K33*J33</f>
        <v>0</v>
      </c>
      <c r="M33" s="98"/>
      <c r="N33" s="196" t="s">
        <v>254</v>
      </c>
    </row>
    <row r="34" spans="1:14" s="23" customFormat="1" ht="18.5" x14ac:dyDescent="0.35">
      <c r="A34" s="547"/>
      <c r="B34" s="197"/>
      <c r="C34" s="198"/>
      <c r="D34" s="198"/>
      <c r="E34" s="199"/>
      <c r="F34" s="200"/>
      <c r="G34" s="191"/>
      <c r="H34" s="192"/>
      <c r="I34" s="193"/>
      <c r="J34" s="194"/>
      <c r="K34" s="195"/>
      <c r="L34" s="195"/>
      <c r="M34" s="195"/>
      <c r="N34" s="196"/>
    </row>
    <row r="35" spans="1:14" s="23" customFormat="1" ht="15.5" x14ac:dyDescent="0.35">
      <c r="A35" s="547"/>
      <c r="B35" s="429"/>
      <c r="C35" s="203"/>
      <c r="D35" s="203"/>
      <c r="E35" s="203"/>
      <c r="F35" s="204"/>
      <c r="G35" s="205"/>
      <c r="H35" s="206" t="s">
        <v>211</v>
      </c>
      <c r="I35" s="207"/>
      <c r="J35" s="208"/>
      <c r="K35" s="209"/>
      <c r="L35" s="210">
        <f>SUM(L32:L33)</f>
        <v>0</v>
      </c>
      <c r="M35" s="210">
        <f>SUM(M32:M33)</f>
        <v>0</v>
      </c>
      <c r="N35" s="211"/>
    </row>
    <row r="36" spans="1:14" s="23" customFormat="1" ht="18.75" customHeight="1" x14ac:dyDescent="0.35">
      <c r="A36" s="547"/>
      <c r="B36" s="197"/>
      <c r="C36" s="198"/>
      <c r="D36" s="198"/>
      <c r="E36" s="199"/>
      <c r="F36" s="200"/>
      <c r="G36" s="200"/>
      <c r="H36" s="222"/>
      <c r="I36" s="193"/>
      <c r="J36" s="194"/>
      <c r="K36" s="195"/>
      <c r="L36" s="195"/>
      <c r="M36" s="195"/>
      <c r="N36" s="196"/>
    </row>
    <row r="37" spans="1:14" s="23" customFormat="1" ht="18.75" customHeight="1" x14ac:dyDescent="0.35">
      <c r="A37" s="547"/>
      <c r="B37" s="216"/>
      <c r="C37" s="188" t="s">
        <v>10</v>
      </c>
      <c r="D37" s="188" t="s">
        <v>54</v>
      </c>
      <c r="E37" s="189"/>
      <c r="F37" s="190" t="s">
        <v>129</v>
      </c>
      <c r="G37" s="191" t="s">
        <v>11</v>
      </c>
      <c r="H37" s="192" t="s">
        <v>130</v>
      </c>
      <c r="I37" s="193" t="s">
        <v>4</v>
      </c>
      <c r="J37" s="194">
        <f>1.8*0.7</f>
        <v>1.26</v>
      </c>
      <c r="K37" s="98"/>
      <c r="L37" s="195">
        <f>K37*J37</f>
        <v>0</v>
      </c>
      <c r="M37" s="98"/>
      <c r="N37" s="196" t="s">
        <v>292</v>
      </c>
    </row>
    <row r="38" spans="1:14" s="23" customFormat="1" ht="18.75" customHeight="1" x14ac:dyDescent="0.35">
      <c r="A38" s="547"/>
      <c r="B38" s="217"/>
      <c r="C38" s="218"/>
      <c r="D38" s="218"/>
      <c r="E38" s="219"/>
      <c r="F38" s="220"/>
      <c r="G38" s="191"/>
      <c r="H38" s="192"/>
      <c r="I38" s="193"/>
      <c r="J38" s="194"/>
      <c r="K38" s="195"/>
      <c r="L38" s="195"/>
      <c r="M38" s="195"/>
      <c r="N38" s="196"/>
    </row>
    <row r="39" spans="1:14" s="23" customFormat="1" ht="18.75" customHeight="1" x14ac:dyDescent="0.35">
      <c r="A39" s="547"/>
      <c r="B39" s="217"/>
      <c r="C39" s="218"/>
      <c r="D39" s="218"/>
      <c r="E39" s="219"/>
      <c r="F39" s="220"/>
      <c r="G39" s="191" t="s">
        <v>13</v>
      </c>
      <c r="H39" s="192" t="s">
        <v>247</v>
      </c>
      <c r="I39" s="193" t="s">
        <v>4</v>
      </c>
      <c r="J39" s="194">
        <f>1.8*0.7</f>
        <v>1.26</v>
      </c>
      <c r="K39" s="98"/>
      <c r="L39" s="195">
        <f>K39*J39</f>
        <v>0</v>
      </c>
      <c r="M39" s="98"/>
      <c r="N39" s="196" t="s">
        <v>256</v>
      </c>
    </row>
    <row r="40" spans="1:14" s="23" customFormat="1" ht="18.75" customHeight="1" x14ac:dyDescent="0.35">
      <c r="A40" s="547"/>
      <c r="B40" s="217"/>
      <c r="C40" s="218"/>
      <c r="D40" s="218"/>
      <c r="E40" s="219"/>
      <c r="F40" s="220"/>
      <c r="G40" s="191"/>
      <c r="H40" s="192"/>
      <c r="I40" s="193"/>
      <c r="J40" s="194"/>
      <c r="K40" s="195"/>
      <c r="L40" s="195"/>
      <c r="M40" s="195"/>
      <c r="N40" s="196"/>
    </row>
    <row r="41" spans="1:14" s="23" customFormat="1" ht="18" customHeight="1" x14ac:dyDescent="0.35">
      <c r="A41" s="547"/>
      <c r="B41" s="217"/>
      <c r="C41" s="218"/>
      <c r="D41" s="218"/>
      <c r="E41" s="219"/>
      <c r="F41" s="220"/>
      <c r="G41" s="200" t="s">
        <v>17</v>
      </c>
      <c r="H41" s="192" t="s">
        <v>135</v>
      </c>
      <c r="I41" s="193" t="s">
        <v>6</v>
      </c>
      <c r="J41" s="194">
        <v>6</v>
      </c>
      <c r="K41" s="98"/>
      <c r="L41" s="195">
        <f>K41*J41</f>
        <v>0</v>
      </c>
      <c r="M41" s="98"/>
      <c r="N41" s="196"/>
    </row>
    <row r="42" spans="1:14" s="23" customFormat="1" ht="18.75" customHeight="1" x14ac:dyDescent="0.35">
      <c r="A42" s="547"/>
      <c r="B42" s="217"/>
      <c r="C42" s="218"/>
      <c r="D42" s="218"/>
      <c r="E42" s="219"/>
      <c r="F42" s="220"/>
      <c r="G42" s="191"/>
      <c r="H42" s="192"/>
      <c r="I42" s="193"/>
      <c r="J42" s="194"/>
      <c r="K42" s="195"/>
      <c r="L42" s="195"/>
      <c r="M42" s="195"/>
      <c r="N42" s="196"/>
    </row>
    <row r="43" spans="1:14" s="23" customFormat="1" ht="15.5" x14ac:dyDescent="0.35">
      <c r="A43" s="547"/>
      <c r="B43" s="290"/>
      <c r="C43" s="265"/>
      <c r="D43" s="265"/>
      <c r="E43" s="265"/>
      <c r="F43" s="266"/>
      <c r="G43" s="205"/>
      <c r="H43" s="206" t="s">
        <v>211</v>
      </c>
      <c r="I43" s="207"/>
      <c r="J43" s="208"/>
      <c r="K43" s="209"/>
      <c r="L43" s="210">
        <f>SUM(L37:L41)</f>
        <v>0</v>
      </c>
      <c r="M43" s="210">
        <f>SUM(M37:M41)</f>
        <v>0</v>
      </c>
      <c r="N43" s="211"/>
    </row>
    <row r="44" spans="1:14" s="23" customFormat="1" ht="15.5" x14ac:dyDescent="0.35">
      <c r="A44" s="547"/>
      <c r="B44" s="197"/>
      <c r="C44" s="199"/>
      <c r="D44" s="199"/>
      <c r="E44" s="199"/>
      <c r="F44" s="411"/>
      <c r="G44" s="412"/>
      <c r="H44" s="430"/>
      <c r="I44" s="413"/>
      <c r="J44" s="414"/>
      <c r="K44" s="415"/>
      <c r="L44" s="431"/>
      <c r="M44" s="431"/>
      <c r="N44" s="196"/>
    </row>
    <row r="45" spans="1:14" ht="18.75" customHeight="1" x14ac:dyDescent="0.35">
      <c r="A45" s="547"/>
      <c r="B45" s="216"/>
      <c r="C45" s="188" t="s">
        <v>10</v>
      </c>
      <c r="D45" s="188" t="s">
        <v>57</v>
      </c>
      <c r="E45" s="189"/>
      <c r="F45" s="190" t="s">
        <v>128</v>
      </c>
      <c r="G45" s="191" t="s">
        <v>13</v>
      </c>
      <c r="H45" s="192" t="s">
        <v>246</v>
      </c>
      <c r="I45" s="193" t="s">
        <v>4</v>
      </c>
      <c r="J45" s="194">
        <f>2*1.4</f>
        <v>2.8</v>
      </c>
      <c r="K45" s="98"/>
      <c r="L45" s="195">
        <f>K45*J45</f>
        <v>0</v>
      </c>
      <c r="M45" s="98"/>
      <c r="N45" s="196" t="s">
        <v>256</v>
      </c>
    </row>
    <row r="46" spans="1:14" s="11" customFormat="1" ht="18.75" customHeight="1" x14ac:dyDescent="0.35">
      <c r="A46" s="547"/>
      <c r="B46" s="217"/>
      <c r="C46" s="218"/>
      <c r="D46" s="218"/>
      <c r="E46" s="219"/>
      <c r="F46" s="220"/>
      <c r="G46" s="191"/>
      <c r="H46" s="192"/>
      <c r="I46" s="193"/>
      <c r="J46" s="194"/>
      <c r="K46" s="195"/>
      <c r="L46" s="195"/>
      <c r="M46" s="195"/>
      <c r="N46" s="196"/>
    </row>
    <row r="47" spans="1:14" ht="15.5" x14ac:dyDescent="0.35">
      <c r="A47" s="547"/>
      <c r="B47" s="429"/>
      <c r="C47" s="203"/>
      <c r="D47" s="203"/>
      <c r="E47" s="203"/>
      <c r="F47" s="204"/>
      <c r="G47" s="205"/>
      <c r="H47" s="206" t="s">
        <v>211</v>
      </c>
      <c r="I47" s="207"/>
      <c r="J47" s="208"/>
      <c r="K47" s="209"/>
      <c r="L47" s="210">
        <f>SUM(L45)</f>
        <v>0</v>
      </c>
      <c r="M47" s="210">
        <f>SUM(M45)</f>
        <v>0</v>
      </c>
      <c r="N47" s="211"/>
    </row>
    <row r="48" spans="1:14" s="23" customFormat="1" ht="15.5" x14ac:dyDescent="0.35">
      <c r="A48" s="547"/>
      <c r="B48" s="197"/>
      <c r="C48" s="199"/>
      <c r="D48" s="199"/>
      <c r="E48" s="199"/>
      <c r="F48" s="411"/>
      <c r="G48" s="412"/>
      <c r="H48" s="430"/>
      <c r="I48" s="413"/>
      <c r="J48" s="414"/>
      <c r="K48" s="415"/>
      <c r="L48" s="431"/>
      <c r="M48" s="431"/>
      <c r="N48" s="196"/>
    </row>
    <row r="49" spans="1:14" s="23" customFormat="1" ht="75.25" customHeight="1" x14ac:dyDescent="0.35">
      <c r="A49" s="547"/>
      <c r="B49" s="216"/>
      <c r="C49" s="188" t="s">
        <v>10</v>
      </c>
      <c r="D49" s="188" t="s">
        <v>56</v>
      </c>
      <c r="E49" s="189"/>
      <c r="F49" s="190" t="s">
        <v>295</v>
      </c>
      <c r="G49" s="191" t="s">
        <v>34</v>
      </c>
      <c r="H49" s="221" t="s">
        <v>225</v>
      </c>
      <c r="I49" s="193" t="s">
        <v>6</v>
      </c>
      <c r="J49" s="194">
        <v>2</v>
      </c>
      <c r="K49" s="98"/>
      <c r="L49" s="195">
        <f>K49*J49</f>
        <v>0</v>
      </c>
      <c r="M49" s="98"/>
      <c r="N49" s="196" t="s">
        <v>190</v>
      </c>
    </row>
    <row r="50" spans="1:14" s="23" customFormat="1" ht="18.75" customHeight="1" x14ac:dyDescent="0.35">
      <c r="A50" s="547"/>
      <c r="B50" s="217"/>
      <c r="C50" s="218"/>
      <c r="D50" s="218"/>
      <c r="E50" s="219"/>
      <c r="F50" s="220"/>
      <c r="G50" s="191"/>
      <c r="H50" s="192"/>
      <c r="I50" s="193"/>
      <c r="J50" s="194"/>
      <c r="K50" s="195"/>
      <c r="L50" s="195"/>
      <c r="M50" s="195"/>
      <c r="N50" s="196"/>
    </row>
    <row r="51" spans="1:14" s="23" customFormat="1" ht="15.5" x14ac:dyDescent="0.35">
      <c r="A51" s="547"/>
      <c r="B51" s="429"/>
      <c r="C51" s="203"/>
      <c r="D51" s="203"/>
      <c r="E51" s="203"/>
      <c r="F51" s="204"/>
      <c r="G51" s="205"/>
      <c r="H51" s="206" t="s">
        <v>211</v>
      </c>
      <c r="I51" s="207"/>
      <c r="J51" s="208"/>
      <c r="K51" s="209"/>
      <c r="L51" s="210">
        <f>SUM(L49)</f>
        <v>0</v>
      </c>
      <c r="M51" s="210">
        <f>SUM(M49)</f>
        <v>0</v>
      </c>
      <c r="N51" s="211"/>
    </row>
    <row r="52" spans="1:14" ht="15" thickBot="1" x14ac:dyDescent="0.4">
      <c r="A52" s="547"/>
      <c r="B52" s="197"/>
      <c r="C52" s="199"/>
      <c r="D52" s="199"/>
      <c r="E52" s="199"/>
      <c r="F52" s="199"/>
      <c r="G52" s="199"/>
      <c r="H52" s="222"/>
      <c r="I52" s="222"/>
      <c r="J52" s="223"/>
      <c r="K52" s="222"/>
      <c r="L52" s="222"/>
      <c r="M52" s="222"/>
      <c r="N52" s="196"/>
    </row>
    <row r="53" spans="1:14" ht="19" thickBot="1" x14ac:dyDescent="0.4">
      <c r="A53" s="547"/>
      <c r="B53" s="526" t="s">
        <v>18</v>
      </c>
      <c r="C53" s="527"/>
      <c r="D53" s="527"/>
      <c r="E53" s="527"/>
      <c r="F53" s="527"/>
      <c r="G53" s="224"/>
      <c r="H53" s="224" t="s">
        <v>211</v>
      </c>
      <c r="I53" s="225"/>
      <c r="J53" s="226"/>
      <c r="K53" s="227"/>
      <c r="L53" s="228">
        <f>L51+L47+L43+L35+L30+L25+L21+L17</f>
        <v>0</v>
      </c>
      <c r="M53" s="228">
        <f>M51+M47+M43+M35+M30+M25+M21+M17</f>
        <v>0</v>
      </c>
      <c r="N53" s="196"/>
    </row>
    <row r="54" spans="1:14" ht="19" thickBot="1" x14ac:dyDescent="0.4">
      <c r="A54" s="548"/>
      <c r="B54" s="230"/>
      <c r="C54" s="231"/>
      <c r="D54" s="231"/>
      <c r="E54" s="232"/>
      <c r="F54" s="233"/>
      <c r="G54" s="233"/>
      <c r="H54" s="234"/>
      <c r="I54" s="235"/>
      <c r="J54" s="236"/>
      <c r="K54" s="237"/>
      <c r="L54" s="238"/>
      <c r="M54" s="239"/>
      <c r="N54" s="240"/>
    </row>
    <row r="55" spans="1:14" ht="18.5" hidden="1" customHeight="1" x14ac:dyDescent="0.35">
      <c r="A55" s="549" t="s">
        <v>20</v>
      </c>
      <c r="B55" s="43"/>
      <c r="C55" s="44"/>
      <c r="D55" s="44"/>
      <c r="E55" s="45"/>
      <c r="F55" s="46"/>
      <c r="G55" s="46"/>
      <c r="H55" s="53"/>
      <c r="I55" s="37"/>
      <c r="J55" s="38"/>
      <c r="K55" s="84"/>
      <c r="L55" s="84"/>
      <c r="M55" s="84"/>
      <c r="N55" s="80"/>
    </row>
    <row r="56" spans="1:14" ht="18.5" hidden="1" customHeight="1" x14ac:dyDescent="0.35">
      <c r="A56" s="550"/>
      <c r="B56" s="65"/>
      <c r="C56" s="32" t="s">
        <v>19</v>
      </c>
      <c r="D56" s="32" t="s">
        <v>126</v>
      </c>
      <c r="E56" s="33"/>
      <c r="F56" s="34" t="s">
        <v>289</v>
      </c>
      <c r="G56" s="35"/>
      <c r="H56" s="36"/>
      <c r="I56" s="37" t="s">
        <v>4</v>
      </c>
      <c r="J56" s="38"/>
      <c r="K56" s="101">
        <v>0</v>
      </c>
      <c r="L56" s="82">
        <f>K56*J56</f>
        <v>0</v>
      </c>
      <c r="M56" s="82">
        <v>0</v>
      </c>
      <c r="N56" s="78"/>
    </row>
    <row r="57" spans="1:14" ht="14.5" hidden="1" customHeight="1" x14ac:dyDescent="0.35">
      <c r="A57" s="550"/>
      <c r="B57" s="43"/>
      <c r="C57" s="45"/>
      <c r="D57" s="45"/>
      <c r="E57" s="45"/>
      <c r="F57" s="46"/>
      <c r="G57" s="46"/>
      <c r="H57" s="36"/>
      <c r="I57" s="37"/>
      <c r="J57" s="38"/>
      <c r="K57" s="84"/>
      <c r="L57" s="84"/>
      <c r="M57" s="84"/>
      <c r="N57" s="78"/>
    </row>
    <row r="58" spans="1:14" ht="15.5" hidden="1" customHeight="1" x14ac:dyDescent="0.35">
      <c r="A58" s="550"/>
      <c r="B58" s="132"/>
      <c r="C58" s="48"/>
      <c r="D58" s="48"/>
      <c r="E58" s="48"/>
      <c r="F58" s="49"/>
      <c r="G58" s="50"/>
      <c r="H58" s="117" t="s">
        <v>211</v>
      </c>
      <c r="I58" s="51"/>
      <c r="J58" s="52"/>
      <c r="K58" s="85"/>
      <c r="L58" s="86">
        <f>SUM(L56:L56)</f>
        <v>0</v>
      </c>
      <c r="M58" s="86">
        <f>SUM(M56:M56)</f>
        <v>0</v>
      </c>
      <c r="N58" s="128"/>
    </row>
    <row r="59" spans="1:14" ht="15" hidden="1" customHeight="1" thickBot="1" x14ac:dyDescent="0.35">
      <c r="A59" s="550"/>
      <c r="B59" s="43"/>
      <c r="C59" s="45"/>
      <c r="D59" s="45"/>
      <c r="E59" s="45"/>
      <c r="F59" s="45"/>
      <c r="G59" s="45"/>
      <c r="H59" s="53"/>
      <c r="I59" s="53"/>
      <c r="J59" s="54"/>
      <c r="K59" s="53"/>
      <c r="L59" s="53"/>
      <c r="M59" s="53"/>
      <c r="N59" s="78"/>
    </row>
    <row r="60" spans="1:14" ht="19" hidden="1" customHeight="1" thickBot="1" x14ac:dyDescent="0.4">
      <c r="A60" s="550"/>
      <c r="B60" s="534" t="s">
        <v>23</v>
      </c>
      <c r="C60" s="535"/>
      <c r="D60" s="535"/>
      <c r="E60" s="535"/>
      <c r="F60" s="535"/>
      <c r="G60" s="55"/>
      <c r="H60" s="104" t="s">
        <v>211</v>
      </c>
      <c r="I60" s="56"/>
      <c r="J60" s="57"/>
      <c r="K60" s="87"/>
      <c r="L60" s="88">
        <f>L58</f>
        <v>0</v>
      </c>
      <c r="M60" s="89">
        <f>M58</f>
        <v>0</v>
      </c>
      <c r="N60" s="78"/>
    </row>
    <row r="61" spans="1:14" ht="19" hidden="1" customHeight="1" thickBot="1" x14ac:dyDescent="0.4">
      <c r="A61" s="551"/>
      <c r="B61" s="58"/>
      <c r="C61" s="59"/>
      <c r="D61" s="59"/>
      <c r="E61" s="60"/>
      <c r="F61" s="61"/>
      <c r="G61" s="61"/>
      <c r="H61" s="62"/>
      <c r="I61" s="63"/>
      <c r="J61" s="64"/>
      <c r="K61" s="90"/>
      <c r="L61" s="91"/>
      <c r="M61" s="76"/>
      <c r="N61" s="78"/>
    </row>
    <row r="62" spans="1:14" s="8" customFormat="1" ht="18.5" hidden="1" customHeight="1" x14ac:dyDescent="0.35">
      <c r="A62" s="549" t="s">
        <v>25</v>
      </c>
      <c r="B62" s="43"/>
      <c r="C62" s="44"/>
      <c r="D62" s="44"/>
      <c r="E62" s="45"/>
      <c r="F62" s="46"/>
      <c r="G62" s="46"/>
      <c r="H62" s="53"/>
      <c r="I62" s="37"/>
      <c r="J62" s="38"/>
      <c r="K62" s="84"/>
      <c r="L62" s="84"/>
      <c r="M62" s="84"/>
      <c r="N62" s="80"/>
    </row>
    <row r="63" spans="1:14" s="8" customFormat="1" ht="18.75" hidden="1" customHeight="1" x14ac:dyDescent="0.35">
      <c r="A63" s="536"/>
      <c r="B63" s="65"/>
      <c r="C63" s="32" t="s">
        <v>26</v>
      </c>
      <c r="D63" s="32" t="s">
        <v>126</v>
      </c>
      <c r="E63" s="33"/>
      <c r="F63" s="34" t="s">
        <v>240</v>
      </c>
      <c r="G63" s="35"/>
      <c r="H63" s="36"/>
      <c r="I63" s="37" t="s">
        <v>6</v>
      </c>
      <c r="J63" s="38"/>
      <c r="K63" s="82">
        <v>0</v>
      </c>
      <c r="L63" s="82">
        <f>K63*J63</f>
        <v>0</v>
      </c>
      <c r="M63" s="82">
        <v>0</v>
      </c>
      <c r="N63" s="78"/>
    </row>
    <row r="64" spans="1:14" s="8" customFormat="1" ht="14.5" hidden="1" customHeight="1" x14ac:dyDescent="0.35">
      <c r="A64" s="536"/>
      <c r="B64" s="43"/>
      <c r="C64" s="45"/>
      <c r="D64" s="45"/>
      <c r="E64" s="45"/>
      <c r="F64" s="46"/>
      <c r="G64" s="46"/>
      <c r="H64" s="36"/>
      <c r="I64" s="37"/>
      <c r="J64" s="38"/>
      <c r="K64" s="84"/>
      <c r="L64" s="84"/>
      <c r="M64" s="84"/>
      <c r="N64" s="78"/>
    </row>
    <row r="65" spans="1:14" s="8" customFormat="1" ht="15.5" hidden="1" customHeight="1" x14ac:dyDescent="0.35">
      <c r="A65" s="536"/>
      <c r="B65" s="132"/>
      <c r="C65" s="48"/>
      <c r="D65" s="48"/>
      <c r="E65" s="48"/>
      <c r="F65" s="49"/>
      <c r="G65" s="50"/>
      <c r="H65" s="117" t="s">
        <v>211</v>
      </c>
      <c r="I65" s="51"/>
      <c r="J65" s="52"/>
      <c r="K65" s="85"/>
      <c r="L65" s="86">
        <f>SUM(L63:L63)</f>
        <v>0</v>
      </c>
      <c r="M65" s="86">
        <f>SUM(M63:M63)</f>
        <v>0</v>
      </c>
      <c r="N65" s="128"/>
    </row>
    <row r="66" spans="1:14" ht="15" hidden="1" customHeight="1" thickBot="1" x14ac:dyDescent="0.35">
      <c r="A66" s="536"/>
      <c r="B66" s="43"/>
      <c r="C66" s="45"/>
      <c r="D66" s="45"/>
      <c r="E66" s="45"/>
      <c r="F66" s="45"/>
      <c r="G66" s="45"/>
      <c r="H66" s="53"/>
      <c r="I66" s="53"/>
      <c r="J66" s="54"/>
      <c r="K66" s="53"/>
      <c r="L66" s="53"/>
      <c r="M66" s="53"/>
      <c r="N66" s="78"/>
    </row>
    <row r="67" spans="1:14" ht="19" hidden="1" customHeight="1" thickBot="1" x14ac:dyDescent="0.4">
      <c r="A67" s="536"/>
      <c r="B67" s="534" t="s">
        <v>24</v>
      </c>
      <c r="C67" s="535"/>
      <c r="D67" s="535"/>
      <c r="E67" s="535"/>
      <c r="F67" s="535"/>
      <c r="G67" s="55"/>
      <c r="H67" s="104" t="s">
        <v>211</v>
      </c>
      <c r="I67" s="56"/>
      <c r="J67" s="57"/>
      <c r="K67" s="87"/>
      <c r="L67" s="88">
        <f>L65</f>
        <v>0</v>
      </c>
      <c r="M67" s="89">
        <f>M65</f>
        <v>0</v>
      </c>
      <c r="N67" s="78"/>
    </row>
    <row r="68" spans="1:14" ht="19" hidden="1" customHeight="1" thickBot="1" x14ac:dyDescent="0.4">
      <c r="A68" s="537"/>
      <c r="B68" s="58"/>
      <c r="C68" s="59"/>
      <c r="D68" s="59"/>
      <c r="E68" s="60"/>
      <c r="F68" s="61"/>
      <c r="G68" s="61"/>
      <c r="H68" s="62"/>
      <c r="I68" s="63"/>
      <c r="J68" s="64"/>
      <c r="K68" s="90"/>
      <c r="L68" s="91"/>
      <c r="M68" s="76"/>
      <c r="N68" s="79"/>
    </row>
    <row r="69" spans="1:14" s="9" customFormat="1" ht="14.5" hidden="1" customHeight="1" x14ac:dyDescent="0.35">
      <c r="A69" s="549" t="s">
        <v>30</v>
      </c>
      <c r="B69" s="66"/>
      <c r="C69" s="67"/>
      <c r="D69" s="67"/>
      <c r="E69" s="67"/>
      <c r="F69" s="68"/>
      <c r="G69" s="121"/>
      <c r="H69" s="122"/>
      <c r="I69" s="122"/>
      <c r="J69" s="123"/>
      <c r="K69" s="122"/>
      <c r="L69" s="122"/>
      <c r="M69" s="122"/>
      <c r="N69" s="124"/>
    </row>
    <row r="70" spans="1:14" s="9" customFormat="1" ht="31" hidden="1" customHeight="1" x14ac:dyDescent="0.35">
      <c r="A70" s="536"/>
      <c r="B70" s="65"/>
      <c r="C70" s="32" t="s">
        <v>31</v>
      </c>
      <c r="D70" s="32" t="s">
        <v>51</v>
      </c>
      <c r="E70" s="33"/>
      <c r="F70" s="126" t="s">
        <v>202</v>
      </c>
      <c r="G70" s="106"/>
      <c r="H70" s="107"/>
      <c r="I70" s="108" t="s">
        <v>6</v>
      </c>
      <c r="J70" s="109"/>
      <c r="K70" s="101">
        <v>0</v>
      </c>
      <c r="L70" s="101">
        <v>0</v>
      </c>
      <c r="M70" s="101">
        <v>0</v>
      </c>
      <c r="N70" s="110"/>
    </row>
    <row r="71" spans="1:14" s="9" customFormat="1" ht="18.5" hidden="1" customHeight="1" x14ac:dyDescent="0.35">
      <c r="A71" s="536"/>
      <c r="B71" s="39"/>
      <c r="C71" s="40"/>
      <c r="D71" s="40"/>
      <c r="E71" s="41"/>
      <c r="F71" s="42"/>
      <c r="G71" s="106"/>
      <c r="H71" s="107"/>
      <c r="I71" s="108" t="s">
        <v>6</v>
      </c>
      <c r="J71" s="109"/>
      <c r="K71" s="101">
        <v>0</v>
      </c>
      <c r="L71" s="101">
        <v>0</v>
      </c>
      <c r="M71" s="101">
        <v>0</v>
      </c>
      <c r="N71" s="110"/>
    </row>
    <row r="72" spans="1:14" s="9" customFormat="1" ht="18.5" hidden="1" customHeight="1" x14ac:dyDescent="0.35">
      <c r="A72" s="536"/>
      <c r="B72" s="39"/>
      <c r="C72" s="40"/>
      <c r="D72" s="40"/>
      <c r="E72" s="41"/>
      <c r="F72" s="42"/>
      <c r="G72" s="106"/>
      <c r="H72" s="107"/>
      <c r="I72" s="108" t="s">
        <v>6</v>
      </c>
      <c r="J72" s="109"/>
      <c r="K72" s="101">
        <v>0</v>
      </c>
      <c r="L72" s="101">
        <v>0</v>
      </c>
      <c r="M72" s="101">
        <v>0</v>
      </c>
      <c r="N72" s="110"/>
    </row>
    <row r="73" spans="1:14" s="9" customFormat="1" ht="14.5" hidden="1" customHeight="1" x14ac:dyDescent="0.35">
      <c r="A73" s="536"/>
      <c r="B73" s="39"/>
      <c r="C73" s="41"/>
      <c r="D73" s="41"/>
      <c r="E73" s="41"/>
      <c r="F73" s="112"/>
      <c r="G73" s="112"/>
      <c r="H73" s="107"/>
      <c r="I73" s="108"/>
      <c r="J73" s="109"/>
      <c r="K73" s="111"/>
      <c r="L73" s="111"/>
      <c r="M73" s="111"/>
      <c r="N73" s="110"/>
    </row>
    <row r="74" spans="1:14" s="9" customFormat="1" ht="15.5" hidden="1" customHeight="1" x14ac:dyDescent="0.35">
      <c r="A74" s="536"/>
      <c r="B74" s="127"/>
      <c r="C74" s="114"/>
      <c r="D74" s="114"/>
      <c r="E74" s="114"/>
      <c r="F74" s="115"/>
      <c r="G74" s="116"/>
      <c r="H74" s="117" t="s">
        <v>211</v>
      </c>
      <c r="I74" s="118"/>
      <c r="J74" s="119"/>
      <c r="K74" s="120"/>
      <c r="L74" s="86">
        <f>SUM(L70:L72)</f>
        <v>0</v>
      </c>
      <c r="M74" s="86">
        <f>SUM(M70:M72)</f>
        <v>0</v>
      </c>
      <c r="N74" s="129"/>
    </row>
    <row r="75" spans="1:14" s="14" customFormat="1" ht="14.5" hidden="1" customHeight="1" x14ac:dyDescent="0.35">
      <c r="A75" s="536"/>
      <c r="B75" s="66"/>
      <c r="C75" s="67"/>
      <c r="D75" s="67"/>
      <c r="E75" s="67"/>
      <c r="F75" s="67"/>
      <c r="G75" s="41"/>
      <c r="H75" s="105"/>
      <c r="I75" s="108"/>
      <c r="J75" s="109"/>
      <c r="K75" s="111"/>
      <c r="L75" s="105"/>
      <c r="M75" s="105"/>
      <c r="N75" s="133"/>
    </row>
    <row r="76" spans="1:14" s="14" customFormat="1" ht="31" hidden="1" customHeight="1" x14ac:dyDescent="0.35">
      <c r="A76" s="536"/>
      <c r="B76" s="65"/>
      <c r="C76" s="32" t="s">
        <v>31</v>
      </c>
      <c r="D76" s="32" t="s">
        <v>52</v>
      </c>
      <c r="E76" s="33"/>
      <c r="F76" s="126" t="s">
        <v>202</v>
      </c>
      <c r="G76" s="106"/>
      <c r="H76" s="107"/>
      <c r="I76" s="108" t="s">
        <v>6</v>
      </c>
      <c r="J76" s="109"/>
      <c r="K76" s="101">
        <v>0</v>
      </c>
      <c r="L76" s="101">
        <v>0</v>
      </c>
      <c r="M76" s="101">
        <v>0</v>
      </c>
      <c r="N76" s="133"/>
    </row>
    <row r="77" spans="1:14" s="14" customFormat="1" ht="14.5" hidden="1" customHeight="1" x14ac:dyDescent="0.35">
      <c r="A77" s="536"/>
      <c r="B77" s="39"/>
      <c r="C77" s="41"/>
      <c r="D77" s="41"/>
      <c r="E77" s="41"/>
      <c r="F77" s="112"/>
      <c r="G77" s="112"/>
      <c r="H77" s="107"/>
      <c r="I77" s="108"/>
      <c r="J77" s="109"/>
      <c r="K77" s="111"/>
      <c r="L77" s="111"/>
      <c r="M77" s="111"/>
      <c r="N77" s="110"/>
    </row>
    <row r="78" spans="1:14" s="14" customFormat="1" ht="15.5" hidden="1" customHeight="1" x14ac:dyDescent="0.35">
      <c r="A78" s="536"/>
      <c r="B78" s="127"/>
      <c r="C78" s="114"/>
      <c r="D78" s="114"/>
      <c r="E78" s="114"/>
      <c r="F78" s="115"/>
      <c r="G78" s="116"/>
      <c r="H78" s="117" t="s">
        <v>211</v>
      </c>
      <c r="I78" s="118"/>
      <c r="J78" s="119"/>
      <c r="K78" s="120"/>
      <c r="L78" s="86">
        <f>SUM(L76)</f>
        <v>0</v>
      </c>
      <c r="M78" s="86">
        <f>SUM(M76)</f>
        <v>0</v>
      </c>
      <c r="N78" s="129"/>
    </row>
    <row r="79" spans="1:14" s="9" customFormat="1" ht="15" hidden="1" customHeight="1" thickBot="1" x14ac:dyDescent="0.35">
      <c r="A79" s="536"/>
      <c r="B79" s="66"/>
      <c r="C79" s="67"/>
      <c r="D79" s="67"/>
      <c r="E79" s="67"/>
      <c r="F79" s="67"/>
      <c r="G79" s="67"/>
      <c r="H79" s="69"/>
      <c r="I79" s="69"/>
      <c r="J79" s="70"/>
      <c r="K79" s="69"/>
      <c r="L79" s="69"/>
      <c r="M79" s="69"/>
      <c r="N79" s="110"/>
    </row>
    <row r="80" spans="1:14" s="9" customFormat="1" ht="19" hidden="1" customHeight="1" thickBot="1" x14ac:dyDescent="0.4">
      <c r="A80" s="536"/>
      <c r="B80" s="534" t="s">
        <v>28</v>
      </c>
      <c r="C80" s="535"/>
      <c r="D80" s="535"/>
      <c r="E80" s="535"/>
      <c r="F80" s="535"/>
      <c r="G80" s="55"/>
      <c r="H80" s="104" t="s">
        <v>211</v>
      </c>
      <c r="I80" s="56"/>
      <c r="J80" s="57"/>
      <c r="K80" s="87"/>
      <c r="L80" s="88">
        <f>L74+L78</f>
        <v>0</v>
      </c>
      <c r="M80" s="89">
        <f>M74+M78</f>
        <v>0</v>
      </c>
      <c r="N80" s="110"/>
    </row>
    <row r="81" spans="1:14" s="9" customFormat="1" ht="19" hidden="1" customHeight="1" thickBot="1" x14ac:dyDescent="0.4">
      <c r="A81" s="537"/>
      <c r="B81" s="71"/>
      <c r="C81" s="72"/>
      <c r="D81" s="72"/>
      <c r="E81" s="73"/>
      <c r="F81" s="74"/>
      <c r="G81" s="74"/>
      <c r="H81" s="75"/>
      <c r="I81" s="76"/>
      <c r="J81" s="77"/>
      <c r="K81" s="92"/>
      <c r="L81" s="91"/>
      <c r="M81" s="76"/>
      <c r="N81" s="125"/>
    </row>
    <row r="82" spans="1:14" ht="18.5" hidden="1" customHeight="1" x14ac:dyDescent="0.35">
      <c r="A82" s="549" t="s">
        <v>32</v>
      </c>
      <c r="B82" s="43"/>
      <c r="C82" s="44"/>
      <c r="D82" s="44"/>
      <c r="E82" s="45"/>
      <c r="F82" s="46"/>
      <c r="G82" s="46"/>
      <c r="H82" s="53"/>
      <c r="I82" s="37"/>
      <c r="J82" s="38"/>
      <c r="K82" s="84"/>
      <c r="L82" s="84"/>
      <c r="M82" s="84"/>
      <c r="N82" s="80"/>
    </row>
    <row r="83" spans="1:14" ht="18.75" hidden="1" customHeight="1" x14ac:dyDescent="0.35">
      <c r="A83" s="550"/>
      <c r="B83" s="65"/>
      <c r="C83" s="32" t="s">
        <v>33</v>
      </c>
      <c r="D83" s="32" t="s">
        <v>51</v>
      </c>
      <c r="E83" s="33"/>
      <c r="F83" s="34" t="s">
        <v>238</v>
      </c>
      <c r="G83" s="35"/>
      <c r="H83" s="36"/>
      <c r="I83" s="37" t="s">
        <v>6</v>
      </c>
      <c r="J83" s="38"/>
      <c r="K83" s="82">
        <v>0</v>
      </c>
      <c r="L83" s="82">
        <f>K83*J83</f>
        <v>0</v>
      </c>
      <c r="M83" s="82">
        <v>0</v>
      </c>
      <c r="N83" s="78"/>
    </row>
    <row r="84" spans="1:14" ht="14.5" hidden="1" customHeight="1" x14ac:dyDescent="0.35">
      <c r="A84" s="536"/>
      <c r="B84" s="43"/>
      <c r="C84" s="45"/>
      <c r="D84" s="45"/>
      <c r="E84" s="45"/>
      <c r="F84" s="46"/>
      <c r="G84" s="46"/>
      <c r="H84" s="36"/>
      <c r="I84" s="37"/>
      <c r="J84" s="38"/>
      <c r="K84" s="84"/>
      <c r="L84" s="84"/>
      <c r="M84" s="84"/>
      <c r="N84" s="78"/>
    </row>
    <row r="85" spans="1:14" ht="15.5" hidden="1" customHeight="1" x14ac:dyDescent="0.35">
      <c r="A85" s="536"/>
      <c r="B85" s="132"/>
      <c r="C85" s="48"/>
      <c r="D85" s="48"/>
      <c r="E85" s="48"/>
      <c r="F85" s="49"/>
      <c r="G85" s="50"/>
      <c r="H85" s="117" t="s">
        <v>211</v>
      </c>
      <c r="I85" s="51"/>
      <c r="J85" s="52"/>
      <c r="K85" s="85"/>
      <c r="L85" s="86">
        <f>SUM(L83:L83)</f>
        <v>0</v>
      </c>
      <c r="M85" s="86">
        <f>SUM(M83:M83)</f>
        <v>0</v>
      </c>
      <c r="N85" s="128"/>
    </row>
    <row r="86" spans="1:14" ht="15" hidden="1" customHeight="1" thickBot="1" x14ac:dyDescent="0.35">
      <c r="A86" s="536"/>
      <c r="B86" s="43"/>
      <c r="C86" s="45"/>
      <c r="D86" s="45"/>
      <c r="E86" s="45"/>
      <c r="F86" s="45"/>
      <c r="G86" s="45"/>
      <c r="H86" s="53"/>
      <c r="I86" s="53"/>
      <c r="J86" s="54"/>
      <c r="K86" s="53"/>
      <c r="L86" s="53"/>
      <c r="M86" s="53"/>
      <c r="N86" s="78"/>
    </row>
    <row r="87" spans="1:14" ht="19" hidden="1" customHeight="1" thickBot="1" x14ac:dyDescent="0.4">
      <c r="A87" s="536"/>
      <c r="B87" s="534" t="s">
        <v>29</v>
      </c>
      <c r="C87" s="535"/>
      <c r="D87" s="535"/>
      <c r="E87" s="535"/>
      <c r="F87" s="535"/>
      <c r="G87" s="55"/>
      <c r="H87" s="104" t="s">
        <v>211</v>
      </c>
      <c r="I87" s="56"/>
      <c r="J87" s="57"/>
      <c r="K87" s="87"/>
      <c r="L87" s="88">
        <f>L85</f>
        <v>0</v>
      </c>
      <c r="M87" s="89">
        <f>M85</f>
        <v>0</v>
      </c>
      <c r="N87" s="78"/>
    </row>
    <row r="88" spans="1:14" ht="19" hidden="1" customHeight="1" thickBot="1" x14ac:dyDescent="0.4">
      <c r="A88" s="537"/>
      <c r="B88" s="58"/>
      <c r="C88" s="59"/>
      <c r="D88" s="59"/>
      <c r="E88" s="60"/>
      <c r="F88" s="61"/>
      <c r="G88" s="61"/>
      <c r="H88" s="62"/>
      <c r="I88" s="63"/>
      <c r="J88" s="64"/>
      <c r="K88" s="90"/>
      <c r="L88" s="91"/>
      <c r="M88" s="76"/>
      <c r="N88" s="79"/>
    </row>
    <row r="89" spans="1:14" x14ac:dyDescent="0.35">
      <c r="J89" s="12"/>
    </row>
    <row r="90" spans="1:14" x14ac:dyDescent="0.35">
      <c r="J90" s="12"/>
    </row>
    <row r="91" spans="1:14" x14ac:dyDescent="0.35">
      <c r="J91" s="12"/>
    </row>
    <row r="92" spans="1:14" x14ac:dyDescent="0.35">
      <c r="J92" s="12"/>
    </row>
    <row r="93" spans="1:14" x14ac:dyDescent="0.35">
      <c r="J93" s="12"/>
    </row>
    <row r="94" spans="1:14" x14ac:dyDescent="0.35">
      <c r="J94" s="12"/>
    </row>
    <row r="95" spans="1:14" x14ac:dyDescent="0.35">
      <c r="J95" s="12"/>
    </row>
    <row r="96" spans="1:14" x14ac:dyDescent="0.35">
      <c r="J96" s="12"/>
    </row>
    <row r="97" spans="10:10" x14ac:dyDescent="0.35">
      <c r="J97" s="12"/>
    </row>
    <row r="98" spans="10:10" x14ac:dyDescent="0.35">
      <c r="J98" s="12"/>
    </row>
    <row r="99" spans="10:10" x14ac:dyDescent="0.35">
      <c r="J99" s="12"/>
    </row>
    <row r="100" spans="10:10" x14ac:dyDescent="0.35">
      <c r="J100" s="12"/>
    </row>
    <row r="101" spans="10:10" x14ac:dyDescent="0.35">
      <c r="J101" s="12"/>
    </row>
    <row r="102" spans="10:10" x14ac:dyDescent="0.35">
      <c r="J102" s="12"/>
    </row>
    <row r="103" spans="10:10" x14ac:dyDescent="0.35">
      <c r="J103" s="12"/>
    </row>
    <row r="104" spans="10:10" x14ac:dyDescent="0.35">
      <c r="J104" s="12"/>
    </row>
    <row r="105" spans="10:10" x14ac:dyDescent="0.35">
      <c r="J105" s="12"/>
    </row>
    <row r="106" spans="10:10" x14ac:dyDescent="0.35">
      <c r="J106" s="12"/>
    </row>
    <row r="107" spans="10:10" x14ac:dyDescent="0.35">
      <c r="J107" s="12"/>
    </row>
    <row r="108" spans="10:10" x14ac:dyDescent="0.35">
      <c r="J108" s="12"/>
    </row>
    <row r="109" spans="10:10" x14ac:dyDescent="0.35">
      <c r="J109" s="12"/>
    </row>
    <row r="110" spans="10:10" x14ac:dyDescent="0.35">
      <c r="J110" s="12"/>
    </row>
    <row r="111" spans="10:10" x14ac:dyDescent="0.35">
      <c r="J111" s="12"/>
    </row>
    <row r="112" spans="10:10" x14ac:dyDescent="0.35">
      <c r="J112" s="12"/>
    </row>
    <row r="113" spans="10:10" x14ac:dyDescent="0.35">
      <c r="J113" s="12"/>
    </row>
    <row r="114" spans="10:10" x14ac:dyDescent="0.35">
      <c r="J114" s="12"/>
    </row>
    <row r="115" spans="10:10" x14ac:dyDescent="0.35">
      <c r="J115" s="12"/>
    </row>
    <row r="116" spans="10:10" x14ac:dyDescent="0.35">
      <c r="J116" s="12"/>
    </row>
    <row r="117" spans="10:10" x14ac:dyDescent="0.35">
      <c r="J117" s="12"/>
    </row>
    <row r="118" spans="10:10" x14ac:dyDescent="0.35">
      <c r="J118" s="12"/>
    </row>
    <row r="119" spans="10:10" x14ac:dyDescent="0.35">
      <c r="J119" s="12"/>
    </row>
    <row r="120" spans="10:10" x14ac:dyDescent="0.35">
      <c r="J120" s="12"/>
    </row>
    <row r="121" spans="10:10" x14ac:dyDescent="0.35">
      <c r="J121" s="12"/>
    </row>
    <row r="122" spans="10:10" x14ac:dyDescent="0.35">
      <c r="J122" s="12"/>
    </row>
    <row r="123" spans="10:10" x14ac:dyDescent="0.35">
      <c r="J123" s="12"/>
    </row>
    <row r="124" spans="10:10" x14ac:dyDescent="0.35">
      <c r="J124" s="12"/>
    </row>
    <row r="125" spans="10:10" x14ac:dyDescent="0.35">
      <c r="J125" s="12"/>
    </row>
    <row r="126" spans="10:10" x14ac:dyDescent="0.35">
      <c r="J126" s="12"/>
    </row>
    <row r="127" spans="10:10" x14ac:dyDescent="0.35">
      <c r="J127" s="12"/>
    </row>
    <row r="128" spans="10:10" x14ac:dyDescent="0.35">
      <c r="J128" s="12"/>
    </row>
    <row r="129" spans="10:10" x14ac:dyDescent="0.35">
      <c r="J129" s="12"/>
    </row>
    <row r="130" spans="10:10" x14ac:dyDescent="0.35">
      <c r="J130" s="12"/>
    </row>
    <row r="131" spans="10:10" x14ac:dyDescent="0.35">
      <c r="J131" s="12"/>
    </row>
    <row r="132" spans="10:10" x14ac:dyDescent="0.35">
      <c r="J132" s="12"/>
    </row>
    <row r="133" spans="10:10" x14ac:dyDescent="0.35">
      <c r="J133" s="12"/>
    </row>
    <row r="134" spans="10:10" x14ac:dyDescent="0.35">
      <c r="J134" s="12"/>
    </row>
    <row r="135" spans="10:10" x14ac:dyDescent="0.35">
      <c r="J135" s="12"/>
    </row>
    <row r="136" spans="10:10" x14ac:dyDescent="0.35">
      <c r="J136" s="12"/>
    </row>
    <row r="137" spans="10:10" x14ac:dyDescent="0.35">
      <c r="J137" s="12"/>
    </row>
    <row r="138" spans="10:10" x14ac:dyDescent="0.35">
      <c r="J138" s="12"/>
    </row>
    <row r="139" spans="10:10" x14ac:dyDescent="0.35">
      <c r="J139" s="12"/>
    </row>
    <row r="140" spans="10:10" x14ac:dyDescent="0.35">
      <c r="J140" s="12"/>
    </row>
    <row r="141" spans="10:10" x14ac:dyDescent="0.35">
      <c r="J141" s="12"/>
    </row>
    <row r="142" spans="10:10" x14ac:dyDescent="0.35">
      <c r="J142" s="12"/>
    </row>
    <row r="143" spans="10:10" x14ac:dyDescent="0.35">
      <c r="J143" s="12"/>
    </row>
    <row r="144" spans="10:10" x14ac:dyDescent="0.35">
      <c r="J144" s="12"/>
    </row>
    <row r="145" spans="10:10" x14ac:dyDescent="0.35">
      <c r="J145" s="12"/>
    </row>
    <row r="146" spans="10:10" x14ac:dyDescent="0.35">
      <c r="J146" s="12"/>
    </row>
    <row r="147" spans="10:10" x14ac:dyDescent="0.35">
      <c r="J147" s="12"/>
    </row>
    <row r="148" spans="10:10" x14ac:dyDescent="0.35">
      <c r="J148" s="12"/>
    </row>
    <row r="149" spans="10:10" x14ac:dyDescent="0.35">
      <c r="J149" s="12"/>
    </row>
    <row r="150" spans="10:10" x14ac:dyDescent="0.35">
      <c r="J150" s="12"/>
    </row>
    <row r="151" spans="10:10" x14ac:dyDescent="0.35">
      <c r="J151" s="12"/>
    </row>
    <row r="152" spans="10:10" x14ac:dyDescent="0.35">
      <c r="J152" s="12"/>
    </row>
    <row r="153" spans="10:10" x14ac:dyDescent="0.35">
      <c r="J153" s="12"/>
    </row>
    <row r="154" spans="10:10" x14ac:dyDescent="0.35">
      <c r="J154" s="12"/>
    </row>
    <row r="155" spans="10:10" x14ac:dyDescent="0.35">
      <c r="J155" s="12"/>
    </row>
    <row r="156" spans="10:10" x14ac:dyDescent="0.35">
      <c r="J156" s="12"/>
    </row>
    <row r="157" spans="10:10" x14ac:dyDescent="0.35">
      <c r="J157" s="12"/>
    </row>
    <row r="158" spans="10:10" x14ac:dyDescent="0.35">
      <c r="J158" s="12"/>
    </row>
    <row r="159" spans="10:10" x14ac:dyDescent="0.35">
      <c r="J159" s="12"/>
    </row>
    <row r="160" spans="10:10" x14ac:dyDescent="0.35">
      <c r="J160" s="12"/>
    </row>
    <row r="161" spans="10:10" x14ac:dyDescent="0.35">
      <c r="J161" s="12"/>
    </row>
    <row r="162" spans="10:10" x14ac:dyDescent="0.35">
      <c r="J162" s="12"/>
    </row>
    <row r="163" spans="10:10" x14ac:dyDescent="0.35">
      <c r="J163" s="12"/>
    </row>
    <row r="164" spans="10:10" x14ac:dyDescent="0.35">
      <c r="J164" s="12"/>
    </row>
    <row r="165" spans="10:10" x14ac:dyDescent="0.35">
      <c r="J165" s="12"/>
    </row>
    <row r="166" spans="10:10" x14ac:dyDescent="0.35">
      <c r="J166" s="12"/>
    </row>
    <row r="167" spans="10:10" x14ac:dyDescent="0.35">
      <c r="J167" s="12"/>
    </row>
    <row r="168" spans="10:10" x14ac:dyDescent="0.35">
      <c r="J168" s="12"/>
    </row>
    <row r="169" spans="10:10" x14ac:dyDescent="0.35">
      <c r="J169" s="12"/>
    </row>
    <row r="170" spans="10:10" x14ac:dyDescent="0.35">
      <c r="J170" s="12"/>
    </row>
    <row r="171" spans="10:10" x14ac:dyDescent="0.35">
      <c r="J171" s="12"/>
    </row>
    <row r="172" spans="10:10" x14ac:dyDescent="0.35">
      <c r="J172" s="12"/>
    </row>
    <row r="173" spans="10:10" x14ac:dyDescent="0.35">
      <c r="J173" s="12"/>
    </row>
    <row r="174" spans="10:10" x14ac:dyDescent="0.35">
      <c r="J174" s="12"/>
    </row>
    <row r="175" spans="10:10" x14ac:dyDescent="0.35">
      <c r="J175" s="12"/>
    </row>
    <row r="176" spans="10:10" x14ac:dyDescent="0.35">
      <c r="J176" s="12"/>
    </row>
    <row r="177" spans="10:10" x14ac:dyDescent="0.35">
      <c r="J177" s="12"/>
    </row>
    <row r="178" spans="10:10" x14ac:dyDescent="0.35">
      <c r="J178" s="12"/>
    </row>
    <row r="179" spans="10:10" x14ac:dyDescent="0.35">
      <c r="J179" s="12"/>
    </row>
    <row r="180" spans="10:10" x14ac:dyDescent="0.35">
      <c r="J180" s="12"/>
    </row>
    <row r="181" spans="10:10" x14ac:dyDescent="0.35">
      <c r="J181" s="12"/>
    </row>
    <row r="182" spans="10:10" x14ac:dyDescent="0.35">
      <c r="J182" s="12"/>
    </row>
    <row r="183" spans="10:10" x14ac:dyDescent="0.35">
      <c r="J183" s="12"/>
    </row>
    <row r="184" spans="10:10" x14ac:dyDescent="0.35">
      <c r="J184" s="12"/>
    </row>
    <row r="185" spans="10:10" x14ac:dyDescent="0.35">
      <c r="J185" s="12"/>
    </row>
    <row r="186" spans="10:10" x14ac:dyDescent="0.35">
      <c r="J186" s="12"/>
    </row>
    <row r="187" spans="10:10" x14ac:dyDescent="0.35">
      <c r="J187" s="12"/>
    </row>
    <row r="188" spans="10:10" x14ac:dyDescent="0.35">
      <c r="J188" s="12"/>
    </row>
    <row r="189" spans="10:10" x14ac:dyDescent="0.35">
      <c r="J189" s="12"/>
    </row>
    <row r="190" spans="10:10" x14ac:dyDescent="0.35">
      <c r="J190" s="12"/>
    </row>
    <row r="191" spans="10:10" x14ac:dyDescent="0.35">
      <c r="J191" s="12"/>
    </row>
    <row r="192" spans="10:10" x14ac:dyDescent="0.35">
      <c r="J192" s="12"/>
    </row>
    <row r="193" spans="10:10" x14ac:dyDescent="0.35">
      <c r="J193" s="12"/>
    </row>
    <row r="194" spans="10:10" x14ac:dyDescent="0.35">
      <c r="J194" s="12"/>
    </row>
    <row r="195" spans="10:10" x14ac:dyDescent="0.35">
      <c r="J195" s="12"/>
    </row>
    <row r="196" spans="10:10" x14ac:dyDescent="0.35">
      <c r="J196" s="12"/>
    </row>
    <row r="197" spans="10:10" x14ac:dyDescent="0.35">
      <c r="J197" s="12"/>
    </row>
    <row r="198" spans="10:10" x14ac:dyDescent="0.35">
      <c r="J198" s="12"/>
    </row>
  </sheetData>
  <sheetProtection sheet="1" objects="1" scenarios="1"/>
  <mergeCells count="19">
    <mergeCell ref="A82:A88"/>
    <mergeCell ref="B87:F87"/>
    <mergeCell ref="A55:A61"/>
    <mergeCell ref="B60:F60"/>
    <mergeCell ref="B67:F67"/>
    <mergeCell ref="B80:F80"/>
    <mergeCell ref="A69:A81"/>
    <mergeCell ref="A8:G8"/>
    <mergeCell ref="A62:A68"/>
    <mergeCell ref="A2:N2"/>
    <mergeCell ref="A5:G5"/>
    <mergeCell ref="A6:G6"/>
    <mergeCell ref="A7:G7"/>
    <mergeCell ref="A9:G9"/>
    <mergeCell ref="F12:G12"/>
    <mergeCell ref="B53:F53"/>
    <mergeCell ref="C12:D12"/>
    <mergeCell ref="A10:K10"/>
    <mergeCell ref="A14:A54"/>
  </mergeCells>
  <printOptions horizontalCentered="1"/>
  <pageMargins left="0.23622047244094491" right="0.23622047244094491" top="0.31496062992125984" bottom="0.52" header="0.23622047244094491" footer="0.15748031496062992"/>
  <pageSetup paperSize="9" scale="42" firstPageNumber="18" fitToHeight="0" orientation="landscape" useFirstPageNumber="1" horizontalDpi="1200" verticalDpi="1200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70"/>
  <sheetViews>
    <sheetView zoomScale="60" zoomScaleNormal="60" zoomScalePageLayoutView="70" workbookViewId="0">
      <selection activeCell="K15" sqref="K15"/>
    </sheetView>
  </sheetViews>
  <sheetFormatPr defaultColWidth="9.1796875" defaultRowHeight="14.5" x14ac:dyDescent="0.35"/>
  <cols>
    <col min="1" max="1" width="5" style="6" customWidth="1"/>
    <col min="2" max="2" width="5.7265625" style="4" customWidth="1"/>
    <col min="3" max="3" width="5.81640625" style="2" customWidth="1"/>
    <col min="4" max="4" width="7" style="2" customWidth="1"/>
    <col min="5" max="5" width="3.7265625" style="2" customWidth="1"/>
    <col min="6" max="6" width="50.7265625" style="2" customWidth="1"/>
    <col min="7" max="7" width="22.90625" style="2" customWidth="1"/>
    <col min="8" max="8" width="59" style="6" customWidth="1"/>
    <col min="9" max="11" width="13.7265625" style="6" customWidth="1"/>
    <col min="12" max="13" width="25.7265625" style="6" customWidth="1"/>
    <col min="14" max="14" width="90.7265625" style="6" customWidth="1"/>
    <col min="15" max="15" width="13.7265625" style="6" customWidth="1"/>
    <col min="16" max="16384" width="9.1796875" style="6"/>
  </cols>
  <sheetData>
    <row r="1" spans="1:14" x14ac:dyDescent="0.35">
      <c r="A1" s="161"/>
      <c r="B1" s="162"/>
      <c r="C1" s="163"/>
      <c r="D1" s="163"/>
      <c r="E1" s="163"/>
      <c r="F1" s="163"/>
      <c r="G1" s="163"/>
      <c r="H1" s="161"/>
      <c r="I1" s="161"/>
      <c r="J1" s="161"/>
      <c r="K1" s="161"/>
      <c r="L1" s="161"/>
      <c r="M1" s="161"/>
      <c r="N1" s="161"/>
    </row>
    <row r="2" spans="1:14" s="19" customFormat="1" ht="35.15" customHeight="1" x14ac:dyDescent="0.35">
      <c r="A2" s="519" t="s">
        <v>90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</row>
    <row r="3" spans="1:14" s="19" customFormat="1" ht="10" customHeight="1" thickBot="1" x14ac:dyDescent="0.4">
      <c r="A3" s="164"/>
      <c r="B3" s="40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</row>
    <row r="4" spans="1:14" ht="26.5" thickBot="1" x14ac:dyDescent="0.4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8" t="s">
        <v>7</v>
      </c>
      <c r="M4" s="168" t="s">
        <v>8</v>
      </c>
      <c r="N4" s="169"/>
    </row>
    <row r="5" spans="1:14" ht="18.5" x14ac:dyDescent="0.35">
      <c r="A5" s="517" t="s">
        <v>18</v>
      </c>
      <c r="B5" s="518"/>
      <c r="C5" s="518"/>
      <c r="D5" s="518"/>
      <c r="E5" s="518"/>
      <c r="F5" s="518"/>
      <c r="G5" s="518"/>
      <c r="H5" s="167"/>
      <c r="I5" s="167"/>
      <c r="J5" s="167"/>
      <c r="K5" s="167"/>
      <c r="L5" s="170">
        <f>L46</f>
        <v>0</v>
      </c>
      <c r="M5" s="170">
        <f>M46</f>
        <v>0</v>
      </c>
      <c r="N5" s="169"/>
    </row>
    <row r="6" spans="1:14" ht="19" thickBot="1" x14ac:dyDescent="0.4">
      <c r="A6" s="517" t="s">
        <v>23</v>
      </c>
      <c r="B6" s="518"/>
      <c r="C6" s="518"/>
      <c r="D6" s="518"/>
      <c r="E6" s="518"/>
      <c r="F6" s="518"/>
      <c r="G6" s="518"/>
      <c r="H6" s="167"/>
      <c r="I6" s="167"/>
      <c r="J6" s="167"/>
      <c r="K6" s="167"/>
      <c r="L6" s="170">
        <f>L57</f>
        <v>0</v>
      </c>
      <c r="M6" s="170">
        <f>M57</f>
        <v>0</v>
      </c>
      <c r="N6" s="169"/>
    </row>
    <row r="7" spans="1:14" ht="18.5" hidden="1" x14ac:dyDescent="0.35">
      <c r="A7" s="517" t="s">
        <v>24</v>
      </c>
      <c r="B7" s="518"/>
      <c r="C7" s="518"/>
      <c r="D7" s="518"/>
      <c r="E7" s="518"/>
      <c r="F7" s="518"/>
      <c r="G7" s="518"/>
      <c r="H7" s="167"/>
      <c r="I7" s="167"/>
      <c r="J7" s="167"/>
      <c r="K7" s="167"/>
      <c r="L7" s="170">
        <f>L64</f>
        <v>0</v>
      </c>
      <c r="M7" s="170">
        <f>M64</f>
        <v>0</v>
      </c>
      <c r="N7" s="169"/>
    </row>
    <row r="8" spans="1:14" ht="18.5" hidden="1" x14ac:dyDescent="0.35">
      <c r="A8" s="517"/>
      <c r="B8" s="518"/>
      <c r="C8" s="518"/>
      <c r="D8" s="518"/>
      <c r="E8" s="518"/>
      <c r="F8" s="518"/>
      <c r="G8" s="518"/>
      <c r="H8" s="167"/>
      <c r="I8" s="167"/>
      <c r="J8" s="167"/>
      <c r="K8" s="167"/>
      <c r="L8" s="170">
        <f>L71</f>
        <v>0</v>
      </c>
      <c r="M8" s="170">
        <f>M71</f>
        <v>0</v>
      </c>
      <c r="N8" s="169"/>
    </row>
    <row r="9" spans="1:14" ht="19" hidden="1" thickBot="1" x14ac:dyDescent="0.4">
      <c r="A9" s="517" t="s">
        <v>29</v>
      </c>
      <c r="B9" s="518"/>
      <c r="C9" s="518"/>
      <c r="D9" s="518"/>
      <c r="E9" s="518"/>
      <c r="F9" s="518"/>
      <c r="G9" s="518"/>
      <c r="H9" s="167"/>
      <c r="I9" s="167"/>
      <c r="J9" s="167"/>
      <c r="K9" s="167"/>
      <c r="L9" s="170">
        <f>L76</f>
        <v>0</v>
      </c>
      <c r="M9" s="170">
        <f>M76</f>
        <v>0</v>
      </c>
      <c r="N9" s="169"/>
    </row>
    <row r="10" spans="1:14" ht="26.5" thickBot="1" x14ac:dyDescent="0.4">
      <c r="A10" s="529" t="s">
        <v>218</v>
      </c>
      <c r="B10" s="529"/>
      <c r="C10" s="529"/>
      <c r="D10" s="529"/>
      <c r="E10" s="529"/>
      <c r="F10" s="529"/>
      <c r="G10" s="529"/>
      <c r="H10" s="529"/>
      <c r="I10" s="529"/>
      <c r="J10" s="529"/>
      <c r="K10" s="530"/>
      <c r="L10" s="171">
        <f>SUM(L5:L9)</f>
        <v>0</v>
      </c>
      <c r="M10" s="171">
        <f>SUM(M5:M9)</f>
        <v>0</v>
      </c>
      <c r="N10" s="169"/>
    </row>
    <row r="11" spans="1:14" ht="19" thickBot="1" x14ac:dyDescent="0.4">
      <c r="A11" s="161"/>
      <c r="B11" s="162"/>
      <c r="C11" s="172"/>
      <c r="D11" s="172"/>
      <c r="E11" s="163"/>
      <c r="F11" s="163"/>
      <c r="G11" s="163"/>
      <c r="H11" s="161"/>
      <c r="I11" s="161"/>
      <c r="J11" s="161"/>
      <c r="K11" s="161"/>
      <c r="L11" s="161"/>
      <c r="M11" s="161"/>
      <c r="N11" s="161"/>
    </row>
    <row r="12" spans="1:14" s="1" customFormat="1" ht="30.75" customHeight="1" thickBot="1" x14ac:dyDescent="0.4">
      <c r="A12" s="173" t="s">
        <v>15</v>
      </c>
      <c r="B12" s="173" t="s">
        <v>255</v>
      </c>
      <c r="C12" s="528" t="s">
        <v>16</v>
      </c>
      <c r="D12" s="522"/>
      <c r="E12" s="174"/>
      <c r="F12" s="521" t="s">
        <v>9</v>
      </c>
      <c r="G12" s="522"/>
      <c r="H12" s="175" t="s">
        <v>27</v>
      </c>
      <c r="I12" s="175" t="s">
        <v>0</v>
      </c>
      <c r="J12" s="175" t="s">
        <v>1</v>
      </c>
      <c r="K12" s="175" t="s">
        <v>2</v>
      </c>
      <c r="L12" s="175" t="s">
        <v>7</v>
      </c>
      <c r="M12" s="175" t="s">
        <v>8</v>
      </c>
      <c r="N12" s="175" t="s">
        <v>3</v>
      </c>
    </row>
    <row r="13" spans="1:14" s="160" customFormat="1" ht="15" customHeight="1" thickBot="1" x14ac:dyDescent="0.4">
      <c r="A13" s="406"/>
      <c r="B13" s="407"/>
      <c r="C13" s="408"/>
      <c r="D13" s="408"/>
      <c r="E13" s="253"/>
      <c r="F13" s="409"/>
      <c r="G13" s="409"/>
      <c r="H13" s="409"/>
      <c r="I13" s="409"/>
      <c r="J13" s="409"/>
      <c r="K13" s="409"/>
      <c r="L13" s="409"/>
      <c r="M13" s="409"/>
      <c r="N13" s="409"/>
    </row>
    <row r="14" spans="1:14" ht="18" customHeight="1" x14ac:dyDescent="0.35">
      <c r="A14" s="538" t="s">
        <v>21</v>
      </c>
      <c r="B14" s="181"/>
      <c r="C14" s="182"/>
      <c r="D14" s="182"/>
      <c r="E14" s="182"/>
      <c r="F14" s="182"/>
      <c r="G14" s="182"/>
      <c r="H14" s="183"/>
      <c r="I14" s="183"/>
      <c r="J14" s="184"/>
      <c r="K14" s="183"/>
      <c r="L14" s="183"/>
      <c r="M14" s="183"/>
      <c r="N14" s="186"/>
    </row>
    <row r="15" spans="1:14" ht="18" customHeight="1" x14ac:dyDescent="0.35">
      <c r="A15" s="539"/>
      <c r="B15" s="216"/>
      <c r="C15" s="188" t="s">
        <v>10</v>
      </c>
      <c r="D15" s="188" t="s">
        <v>48</v>
      </c>
      <c r="E15" s="189"/>
      <c r="F15" s="190" t="s">
        <v>299</v>
      </c>
      <c r="G15" s="191" t="s">
        <v>304</v>
      </c>
      <c r="H15" s="192" t="s">
        <v>245</v>
      </c>
      <c r="I15" s="193" t="s">
        <v>6</v>
      </c>
      <c r="J15" s="194">
        <f>1.1*1.3</f>
        <v>1.4300000000000002</v>
      </c>
      <c r="K15" s="98"/>
      <c r="L15" s="195">
        <f>K15*J15</f>
        <v>0</v>
      </c>
      <c r="M15" s="98"/>
      <c r="N15" s="196"/>
    </row>
    <row r="16" spans="1:14" ht="18" customHeight="1" x14ac:dyDescent="0.35">
      <c r="A16" s="539"/>
      <c r="B16" s="217"/>
      <c r="C16" s="218"/>
      <c r="D16" s="218"/>
      <c r="E16" s="219"/>
      <c r="F16" s="220"/>
      <c r="G16" s="191"/>
      <c r="H16" s="192" t="s">
        <v>135</v>
      </c>
      <c r="I16" s="193" t="s">
        <v>6</v>
      </c>
      <c r="J16" s="194">
        <v>4</v>
      </c>
      <c r="K16" s="98"/>
      <c r="L16" s="195">
        <f>K16*J16</f>
        <v>0</v>
      </c>
      <c r="M16" s="98"/>
      <c r="N16" s="196"/>
    </row>
    <row r="17" spans="1:14" ht="18" customHeight="1" x14ac:dyDescent="0.35">
      <c r="A17" s="539"/>
      <c r="B17" s="217"/>
      <c r="C17" s="218"/>
      <c r="D17" s="218"/>
      <c r="E17" s="219"/>
      <c r="F17" s="220"/>
      <c r="G17" s="191"/>
      <c r="H17" s="192"/>
      <c r="I17" s="193"/>
      <c r="J17" s="194"/>
      <c r="K17" s="453"/>
      <c r="L17" s="195"/>
      <c r="M17" s="195"/>
      <c r="N17" s="196"/>
    </row>
    <row r="18" spans="1:14" ht="18" customHeight="1" x14ac:dyDescent="0.35">
      <c r="A18" s="539"/>
      <c r="B18" s="217"/>
      <c r="C18" s="219"/>
      <c r="D18" s="219"/>
      <c r="E18" s="219"/>
      <c r="F18" s="454"/>
      <c r="G18" s="191" t="s">
        <v>305</v>
      </c>
      <c r="H18" s="192" t="s">
        <v>132</v>
      </c>
      <c r="I18" s="193" t="s">
        <v>4</v>
      </c>
      <c r="J18" s="194">
        <f>2*1.1*1.3</f>
        <v>2.8600000000000003</v>
      </c>
      <c r="K18" s="98"/>
      <c r="L18" s="195">
        <f>K18*J18</f>
        <v>0</v>
      </c>
      <c r="M18" s="98"/>
      <c r="N18" s="196" t="s">
        <v>256</v>
      </c>
    </row>
    <row r="19" spans="1:14" s="23" customFormat="1" ht="18" customHeight="1" x14ac:dyDescent="0.35">
      <c r="A19" s="539"/>
      <c r="B19" s="217"/>
      <c r="C19" s="219"/>
      <c r="D19" s="219"/>
      <c r="E19" s="219"/>
      <c r="F19" s="454"/>
      <c r="G19" s="191"/>
      <c r="H19" s="192"/>
      <c r="I19" s="193"/>
      <c r="J19" s="194"/>
      <c r="K19" s="195"/>
      <c r="L19" s="195"/>
      <c r="M19" s="195"/>
      <c r="N19" s="196"/>
    </row>
    <row r="20" spans="1:14" s="23" customFormat="1" ht="15.5" x14ac:dyDescent="0.35">
      <c r="A20" s="539"/>
      <c r="B20" s="197"/>
      <c r="C20" s="199"/>
      <c r="D20" s="199"/>
      <c r="E20" s="199"/>
      <c r="F20" s="200"/>
      <c r="G20" s="200"/>
      <c r="H20" s="430" t="s">
        <v>235</v>
      </c>
      <c r="I20" s="193"/>
      <c r="J20" s="194"/>
      <c r="K20" s="195"/>
      <c r="L20" s="448">
        <f>SUM(L15:L18)</f>
        <v>0</v>
      </c>
      <c r="M20" s="448">
        <f>SUM(M15:M18)</f>
        <v>0</v>
      </c>
      <c r="N20" s="196"/>
    </row>
    <row r="21" spans="1:14" ht="18" customHeight="1" x14ac:dyDescent="0.35">
      <c r="A21" s="539"/>
      <c r="B21" s="429"/>
      <c r="C21" s="203"/>
      <c r="D21" s="203"/>
      <c r="E21" s="203"/>
      <c r="F21" s="204"/>
      <c r="G21" s="205"/>
      <c r="H21" s="449" t="s">
        <v>236</v>
      </c>
      <c r="I21" s="207"/>
      <c r="J21" s="208"/>
      <c r="K21" s="209"/>
      <c r="L21" s="210">
        <f>L20*10</f>
        <v>0</v>
      </c>
      <c r="M21" s="210">
        <f>M20*10</f>
        <v>0</v>
      </c>
      <c r="N21" s="211"/>
    </row>
    <row r="22" spans="1:14" ht="18" customHeight="1" x14ac:dyDescent="0.35">
      <c r="A22" s="539"/>
      <c r="B22" s="197"/>
      <c r="C22" s="199"/>
      <c r="D22" s="199"/>
      <c r="E22" s="199"/>
      <c r="F22" s="199"/>
      <c r="G22" s="199"/>
      <c r="H22" s="222"/>
      <c r="I22" s="222"/>
      <c r="J22" s="223"/>
      <c r="K22" s="222"/>
      <c r="L22" s="222"/>
      <c r="M22" s="222"/>
      <c r="N22" s="196"/>
    </row>
    <row r="23" spans="1:14" ht="18.75" customHeight="1" x14ac:dyDescent="0.35">
      <c r="A23" s="539"/>
      <c r="B23" s="216"/>
      <c r="C23" s="188" t="s">
        <v>10</v>
      </c>
      <c r="D23" s="188" t="s">
        <v>49</v>
      </c>
      <c r="E23" s="189"/>
      <c r="F23" s="190" t="s">
        <v>131</v>
      </c>
      <c r="G23" s="191" t="s">
        <v>12</v>
      </c>
      <c r="H23" s="192" t="s">
        <v>231</v>
      </c>
      <c r="I23" s="193" t="s">
        <v>4</v>
      </c>
      <c r="J23" s="194">
        <v>1.57</v>
      </c>
      <c r="K23" s="98"/>
      <c r="L23" s="195">
        <f>K23*J23</f>
        <v>0</v>
      </c>
      <c r="M23" s="98"/>
      <c r="N23" s="196" t="s">
        <v>294</v>
      </c>
    </row>
    <row r="24" spans="1:14" ht="18" customHeight="1" x14ac:dyDescent="0.35">
      <c r="A24" s="539"/>
      <c r="B24" s="197"/>
      <c r="C24" s="199"/>
      <c r="D24" s="199"/>
      <c r="E24" s="199"/>
      <c r="F24" s="200"/>
      <c r="G24" s="200"/>
      <c r="H24" s="192"/>
      <c r="I24" s="193"/>
      <c r="J24" s="194"/>
      <c r="K24" s="195"/>
      <c r="L24" s="195"/>
      <c r="M24" s="195"/>
      <c r="N24" s="196"/>
    </row>
    <row r="25" spans="1:14" ht="18" customHeight="1" x14ac:dyDescent="0.35">
      <c r="A25" s="539"/>
      <c r="B25" s="429"/>
      <c r="C25" s="203"/>
      <c r="D25" s="203"/>
      <c r="E25" s="203"/>
      <c r="F25" s="204"/>
      <c r="G25" s="205"/>
      <c r="H25" s="206" t="s">
        <v>211</v>
      </c>
      <c r="I25" s="207"/>
      <c r="J25" s="208"/>
      <c r="K25" s="209"/>
      <c r="L25" s="210">
        <f>SUM(L23:L23)</f>
        <v>0</v>
      </c>
      <c r="M25" s="210">
        <f>SUM(M23:M23)</f>
        <v>0</v>
      </c>
      <c r="N25" s="211"/>
    </row>
    <row r="26" spans="1:14" ht="18" customHeight="1" x14ac:dyDescent="0.35">
      <c r="A26" s="539"/>
      <c r="B26" s="197"/>
      <c r="C26" s="199"/>
      <c r="D26" s="199"/>
      <c r="E26" s="199"/>
      <c r="F26" s="199"/>
      <c r="G26" s="199"/>
      <c r="H26" s="222"/>
      <c r="I26" s="222"/>
      <c r="J26" s="223"/>
      <c r="K26" s="222"/>
      <c r="L26" s="222"/>
      <c r="M26" s="222"/>
      <c r="N26" s="196"/>
    </row>
    <row r="27" spans="1:14" ht="18" customHeight="1" x14ac:dyDescent="0.35">
      <c r="A27" s="539"/>
      <c r="B27" s="216"/>
      <c r="C27" s="188" t="s">
        <v>10</v>
      </c>
      <c r="D27" s="188" t="s">
        <v>50</v>
      </c>
      <c r="E27" s="433" t="s">
        <v>110</v>
      </c>
      <c r="F27" s="190" t="s">
        <v>244</v>
      </c>
      <c r="G27" s="191" t="s">
        <v>120</v>
      </c>
      <c r="H27" s="192" t="s">
        <v>219</v>
      </c>
      <c r="I27" s="193" t="s">
        <v>6</v>
      </c>
      <c r="J27" s="194">
        <v>1</v>
      </c>
      <c r="K27" s="98"/>
      <c r="L27" s="195">
        <f>K27*J27</f>
        <v>0</v>
      </c>
      <c r="M27" s="98"/>
      <c r="N27" s="196"/>
    </row>
    <row r="28" spans="1:14" ht="18" customHeight="1" x14ac:dyDescent="0.35">
      <c r="A28" s="539"/>
      <c r="B28" s="197"/>
      <c r="C28" s="199"/>
      <c r="D28" s="199"/>
      <c r="E28" s="199"/>
      <c r="F28" s="200"/>
      <c r="G28" s="200"/>
      <c r="H28" s="192"/>
      <c r="I28" s="193"/>
      <c r="J28" s="194"/>
      <c r="K28" s="195"/>
      <c r="L28" s="195"/>
      <c r="M28" s="195"/>
      <c r="N28" s="196"/>
    </row>
    <row r="29" spans="1:14" ht="18" customHeight="1" x14ac:dyDescent="0.35">
      <c r="A29" s="539"/>
      <c r="B29" s="429"/>
      <c r="C29" s="203"/>
      <c r="D29" s="203"/>
      <c r="E29" s="203"/>
      <c r="F29" s="204"/>
      <c r="G29" s="205"/>
      <c r="H29" s="206" t="s">
        <v>211</v>
      </c>
      <c r="I29" s="207"/>
      <c r="J29" s="208"/>
      <c r="K29" s="209"/>
      <c r="L29" s="210">
        <f>SUM(L27:L27)</f>
        <v>0</v>
      </c>
      <c r="M29" s="210">
        <f>SUM(M27:M27)</f>
        <v>0</v>
      </c>
      <c r="N29" s="211"/>
    </row>
    <row r="30" spans="1:14" s="23" customFormat="1" ht="18" customHeight="1" x14ac:dyDescent="0.35">
      <c r="A30" s="539"/>
      <c r="B30" s="197"/>
      <c r="C30" s="199"/>
      <c r="D30" s="199"/>
      <c r="E30" s="199"/>
      <c r="F30" s="199"/>
      <c r="G30" s="199"/>
      <c r="H30" s="222"/>
      <c r="I30" s="222"/>
      <c r="J30" s="223"/>
      <c r="K30" s="222"/>
      <c r="L30" s="222"/>
      <c r="M30" s="222"/>
      <c r="N30" s="196"/>
    </row>
    <row r="31" spans="1:14" s="23" customFormat="1" ht="18" customHeight="1" x14ac:dyDescent="0.35">
      <c r="A31" s="539"/>
      <c r="B31" s="216"/>
      <c r="C31" s="188" t="s">
        <v>10</v>
      </c>
      <c r="D31" s="188" t="s">
        <v>50</v>
      </c>
      <c r="E31" s="433" t="s">
        <v>115</v>
      </c>
      <c r="F31" s="190" t="s">
        <v>243</v>
      </c>
      <c r="G31" s="191" t="s">
        <v>120</v>
      </c>
      <c r="H31" s="192" t="s">
        <v>219</v>
      </c>
      <c r="I31" s="193" t="s">
        <v>6</v>
      </c>
      <c r="J31" s="194">
        <v>1</v>
      </c>
      <c r="K31" s="98"/>
      <c r="L31" s="195">
        <f>K31*J31</f>
        <v>0</v>
      </c>
      <c r="M31" s="98"/>
      <c r="N31" s="196"/>
    </row>
    <row r="32" spans="1:14" s="23" customFormat="1" ht="18" customHeight="1" x14ac:dyDescent="0.35">
      <c r="A32" s="539"/>
      <c r="B32" s="197"/>
      <c r="C32" s="199"/>
      <c r="D32" s="199"/>
      <c r="E32" s="199"/>
      <c r="F32" s="200"/>
      <c r="G32" s="200"/>
      <c r="H32" s="221" t="s">
        <v>348</v>
      </c>
      <c r="I32" s="193"/>
      <c r="J32" s="194"/>
      <c r="K32" s="195"/>
      <c r="L32" s="195"/>
      <c r="M32" s="195"/>
      <c r="N32" s="196"/>
    </row>
    <row r="33" spans="1:14" s="23" customFormat="1" ht="18" customHeight="1" x14ac:dyDescent="0.35">
      <c r="A33" s="539"/>
      <c r="B33" s="429"/>
      <c r="C33" s="203"/>
      <c r="D33" s="203"/>
      <c r="E33" s="203"/>
      <c r="F33" s="204"/>
      <c r="G33" s="205"/>
      <c r="H33" s="206" t="s">
        <v>211</v>
      </c>
      <c r="I33" s="207"/>
      <c r="J33" s="208"/>
      <c r="K33" s="209"/>
      <c r="L33" s="210">
        <f>SUM(L31:L31)</f>
        <v>0</v>
      </c>
      <c r="M33" s="210">
        <f>SUM(M31:M31)</f>
        <v>0</v>
      </c>
      <c r="N33" s="211"/>
    </row>
    <row r="34" spans="1:14" s="23" customFormat="1" x14ac:dyDescent="0.35">
      <c r="A34" s="539"/>
      <c r="B34" s="197"/>
      <c r="C34" s="199"/>
      <c r="D34" s="199"/>
      <c r="E34" s="199"/>
      <c r="F34" s="199"/>
      <c r="G34" s="199"/>
      <c r="H34" s="222"/>
      <c r="I34" s="222"/>
      <c r="J34" s="223"/>
      <c r="K34" s="222"/>
      <c r="L34" s="222"/>
      <c r="M34" s="222"/>
      <c r="N34" s="196"/>
    </row>
    <row r="35" spans="1:14" s="23" customFormat="1" ht="18.5" x14ac:dyDescent="0.35">
      <c r="A35" s="539"/>
      <c r="B35" s="216"/>
      <c r="C35" s="188" t="s">
        <v>10</v>
      </c>
      <c r="D35" s="188" t="s">
        <v>50</v>
      </c>
      <c r="E35" s="433" t="s">
        <v>116</v>
      </c>
      <c r="F35" s="190" t="s">
        <v>107</v>
      </c>
      <c r="G35" s="191" t="s">
        <v>11</v>
      </c>
      <c r="H35" s="192" t="s">
        <v>64</v>
      </c>
      <c r="I35" s="193" t="s">
        <v>4</v>
      </c>
      <c r="J35" s="194">
        <f>3.14*0.45*0.77</f>
        <v>1.0880100000000001</v>
      </c>
      <c r="K35" s="98"/>
      <c r="L35" s="195">
        <f>K35*J35</f>
        <v>0</v>
      </c>
      <c r="M35" s="98"/>
      <c r="N35" s="196" t="s">
        <v>223</v>
      </c>
    </row>
    <row r="36" spans="1:14" s="23" customFormat="1" ht="18.5" x14ac:dyDescent="0.35">
      <c r="A36" s="539"/>
      <c r="B36" s="197"/>
      <c r="C36" s="198"/>
      <c r="D36" s="198"/>
      <c r="E36" s="199"/>
      <c r="F36" s="200"/>
      <c r="G36" s="191"/>
      <c r="H36" s="192" t="s">
        <v>41</v>
      </c>
      <c r="I36" s="193" t="s">
        <v>4</v>
      </c>
      <c r="J36" s="194">
        <f>3.14*0.225*0.225*4+4*0.1*0.77</f>
        <v>0.94385000000000008</v>
      </c>
      <c r="K36" s="98"/>
      <c r="L36" s="195">
        <f>K36*J36</f>
        <v>0</v>
      </c>
      <c r="M36" s="98"/>
      <c r="N36" s="196"/>
    </row>
    <row r="37" spans="1:14" s="23" customFormat="1" x14ac:dyDescent="0.35">
      <c r="A37" s="539"/>
      <c r="B37" s="197"/>
      <c r="C37" s="199"/>
      <c r="D37" s="199"/>
      <c r="E37" s="199"/>
      <c r="F37" s="200"/>
      <c r="G37" s="191"/>
      <c r="H37" s="192" t="s">
        <v>111</v>
      </c>
      <c r="I37" s="193" t="s">
        <v>4</v>
      </c>
      <c r="J37" s="194">
        <f>3.14*0.225*0.225</f>
        <v>0.15896250000000001</v>
      </c>
      <c r="K37" s="98"/>
      <c r="L37" s="195">
        <f>K37*J37</f>
        <v>0</v>
      </c>
      <c r="M37" s="98"/>
      <c r="N37" s="196"/>
    </row>
    <row r="38" spans="1:14" s="23" customFormat="1" x14ac:dyDescent="0.35">
      <c r="A38" s="539"/>
      <c r="B38" s="197"/>
      <c r="C38" s="199"/>
      <c r="D38" s="199"/>
      <c r="E38" s="199"/>
      <c r="F38" s="200"/>
      <c r="G38" s="191"/>
      <c r="H38" s="192"/>
      <c r="I38" s="193"/>
      <c r="J38" s="194"/>
      <c r="K38" s="194"/>
      <c r="L38" s="195"/>
      <c r="M38" s="195"/>
      <c r="N38" s="196"/>
    </row>
    <row r="39" spans="1:14" s="23" customFormat="1" x14ac:dyDescent="0.35">
      <c r="A39" s="539"/>
      <c r="B39" s="197"/>
      <c r="C39" s="199"/>
      <c r="D39" s="199"/>
      <c r="E39" s="199"/>
      <c r="F39" s="200"/>
      <c r="G39" s="191" t="s">
        <v>13</v>
      </c>
      <c r="H39" s="192" t="s">
        <v>113</v>
      </c>
      <c r="I39" s="193" t="s">
        <v>4</v>
      </c>
      <c r="J39" s="194">
        <f>(3.14*0.45*0.77+3.14*0.225*0.225)*1.2</f>
        <v>1.496367</v>
      </c>
      <c r="K39" s="98"/>
      <c r="L39" s="195">
        <f>K39*J39</f>
        <v>0</v>
      </c>
      <c r="M39" s="98"/>
      <c r="N39" s="196" t="s">
        <v>256</v>
      </c>
    </row>
    <row r="40" spans="1:14" s="23" customFormat="1" x14ac:dyDescent="0.35">
      <c r="A40" s="539"/>
      <c r="B40" s="197"/>
      <c r="C40" s="199"/>
      <c r="D40" s="199"/>
      <c r="E40" s="199"/>
      <c r="F40" s="200"/>
      <c r="G40" s="191"/>
      <c r="H40" s="192" t="s">
        <v>65</v>
      </c>
      <c r="I40" s="193" t="s">
        <v>4</v>
      </c>
      <c r="J40" s="194">
        <f>J39</f>
        <v>1.496367</v>
      </c>
      <c r="K40" s="98"/>
      <c r="L40" s="195">
        <f>K40*J40</f>
        <v>0</v>
      </c>
      <c r="M40" s="98"/>
      <c r="N40" s="196"/>
    </row>
    <row r="41" spans="1:14" s="23" customFormat="1" x14ac:dyDescent="0.35">
      <c r="A41" s="539"/>
      <c r="B41" s="197"/>
      <c r="C41" s="199"/>
      <c r="D41" s="199"/>
      <c r="E41" s="199"/>
      <c r="F41" s="200"/>
      <c r="G41" s="191"/>
      <c r="H41" s="192"/>
      <c r="I41" s="193"/>
      <c r="J41" s="194"/>
      <c r="K41" s="195"/>
      <c r="L41" s="195"/>
      <c r="M41" s="195"/>
      <c r="N41" s="196"/>
    </row>
    <row r="42" spans="1:14" s="23" customFormat="1" ht="29" x14ac:dyDescent="0.35">
      <c r="A42" s="539"/>
      <c r="B42" s="197"/>
      <c r="C42" s="199"/>
      <c r="D42" s="199"/>
      <c r="E42" s="199"/>
      <c r="F42" s="200"/>
      <c r="G42" s="191" t="s">
        <v>14</v>
      </c>
      <c r="H42" s="192" t="s">
        <v>259</v>
      </c>
      <c r="I42" s="193" t="s">
        <v>6</v>
      </c>
      <c r="J42" s="194">
        <v>1</v>
      </c>
      <c r="K42" s="98"/>
      <c r="L42" s="195">
        <f t="shared" ref="L42" si="0">K42*J42</f>
        <v>0</v>
      </c>
      <c r="M42" s="98"/>
      <c r="N42" s="410" t="s">
        <v>346</v>
      </c>
    </row>
    <row r="43" spans="1:14" s="23" customFormat="1" x14ac:dyDescent="0.35">
      <c r="A43" s="539"/>
      <c r="B43" s="197"/>
      <c r="C43" s="199"/>
      <c r="D43" s="199"/>
      <c r="E43" s="199"/>
      <c r="F43" s="200"/>
      <c r="G43" s="200"/>
      <c r="H43" s="192"/>
      <c r="I43" s="193"/>
      <c r="J43" s="194"/>
      <c r="K43" s="195"/>
      <c r="L43" s="195"/>
      <c r="M43" s="195"/>
      <c r="N43" s="196"/>
    </row>
    <row r="44" spans="1:14" s="23" customFormat="1" ht="15.5" x14ac:dyDescent="0.35">
      <c r="A44" s="539"/>
      <c r="B44" s="429"/>
      <c r="C44" s="203"/>
      <c r="D44" s="203"/>
      <c r="E44" s="203"/>
      <c r="F44" s="204"/>
      <c r="G44" s="205"/>
      <c r="H44" s="206" t="s">
        <v>211</v>
      </c>
      <c r="I44" s="207"/>
      <c r="J44" s="208"/>
      <c r="K44" s="209"/>
      <c r="L44" s="210">
        <f>SUM(L35:L42)</f>
        <v>0</v>
      </c>
      <c r="M44" s="210">
        <f>SUM(M35:M42)</f>
        <v>0</v>
      </c>
      <c r="N44" s="211"/>
    </row>
    <row r="45" spans="1:14" ht="18" customHeight="1" thickBot="1" x14ac:dyDescent="0.4">
      <c r="A45" s="539"/>
      <c r="B45" s="197"/>
      <c r="C45" s="199"/>
      <c r="D45" s="199"/>
      <c r="E45" s="199"/>
      <c r="F45" s="199"/>
      <c r="G45" s="199"/>
      <c r="H45" s="222"/>
      <c r="I45" s="222"/>
      <c r="J45" s="223"/>
      <c r="K45" s="222"/>
      <c r="L45" s="222"/>
      <c r="M45" s="222"/>
      <c r="N45" s="196"/>
    </row>
    <row r="46" spans="1:14" ht="18" customHeight="1" thickBot="1" x14ac:dyDescent="0.4">
      <c r="A46" s="539"/>
      <c r="B46" s="526" t="s">
        <v>18</v>
      </c>
      <c r="C46" s="527"/>
      <c r="D46" s="527"/>
      <c r="E46" s="527"/>
      <c r="F46" s="527"/>
      <c r="G46" s="224"/>
      <c r="H46" s="224" t="s">
        <v>211</v>
      </c>
      <c r="I46" s="225"/>
      <c r="J46" s="226"/>
      <c r="K46" s="227"/>
      <c r="L46" s="228">
        <f>L44+L33+L29+L25+L21</f>
        <v>0</v>
      </c>
      <c r="M46" s="229">
        <f>M44+M33+M29+M25+M21</f>
        <v>0</v>
      </c>
      <c r="N46" s="196"/>
    </row>
    <row r="47" spans="1:14" ht="18" customHeight="1" thickBot="1" x14ac:dyDescent="0.4">
      <c r="A47" s="540"/>
      <c r="B47" s="230"/>
      <c r="C47" s="231"/>
      <c r="D47" s="231"/>
      <c r="E47" s="232"/>
      <c r="F47" s="233"/>
      <c r="G47" s="233"/>
      <c r="H47" s="234"/>
      <c r="I47" s="235"/>
      <c r="J47" s="236"/>
      <c r="K47" s="237"/>
      <c r="L47" s="238"/>
      <c r="M47" s="239"/>
      <c r="N47" s="240"/>
    </row>
    <row r="48" spans="1:14" ht="18.5" x14ac:dyDescent="0.35">
      <c r="A48" s="538" t="s">
        <v>20</v>
      </c>
      <c r="B48" s="197"/>
      <c r="C48" s="198"/>
      <c r="D48" s="198"/>
      <c r="E48" s="199"/>
      <c r="F48" s="200"/>
      <c r="G48" s="200"/>
      <c r="H48" s="222"/>
      <c r="I48" s="193"/>
      <c r="J48" s="194"/>
      <c r="K48" s="195"/>
      <c r="L48" s="195"/>
      <c r="M48" s="195"/>
      <c r="N48" s="186"/>
    </row>
    <row r="49" spans="1:14" ht="18.5" x14ac:dyDescent="0.35">
      <c r="A49" s="539"/>
      <c r="B49" s="216"/>
      <c r="C49" s="188" t="s">
        <v>19</v>
      </c>
      <c r="D49" s="188" t="s">
        <v>48</v>
      </c>
      <c r="E49" s="189"/>
      <c r="F49" s="190" t="s">
        <v>241</v>
      </c>
      <c r="G49" s="191"/>
      <c r="H49" s="192" t="s">
        <v>242</v>
      </c>
      <c r="I49" s="193" t="s">
        <v>4</v>
      </c>
      <c r="J49" s="194">
        <f>10*1.3*1.1</f>
        <v>14.3</v>
      </c>
      <c r="K49" s="98"/>
      <c r="L49" s="195">
        <f>K49*J49</f>
        <v>0</v>
      </c>
      <c r="M49" s="98"/>
      <c r="N49" s="196"/>
    </row>
    <row r="50" spans="1:14" x14ac:dyDescent="0.35">
      <c r="A50" s="539"/>
      <c r="B50" s="197"/>
      <c r="C50" s="199"/>
      <c r="D50" s="199"/>
      <c r="E50" s="199"/>
      <c r="F50" s="200"/>
      <c r="G50" s="200"/>
      <c r="H50" s="192"/>
      <c r="I50" s="193"/>
      <c r="J50" s="194"/>
      <c r="K50" s="195"/>
      <c r="L50" s="195"/>
      <c r="M50" s="195"/>
      <c r="N50" s="196"/>
    </row>
    <row r="51" spans="1:14" ht="15.5" x14ac:dyDescent="0.35">
      <c r="A51" s="539"/>
      <c r="B51" s="429"/>
      <c r="C51" s="203"/>
      <c r="D51" s="203"/>
      <c r="E51" s="203"/>
      <c r="F51" s="204"/>
      <c r="G51" s="205"/>
      <c r="H51" s="206" t="s">
        <v>211</v>
      </c>
      <c r="I51" s="207"/>
      <c r="J51" s="208"/>
      <c r="K51" s="209"/>
      <c r="L51" s="210">
        <f>SUM(L49:L49)</f>
        <v>0</v>
      </c>
      <c r="M51" s="210">
        <f>SUM(M49:M49)</f>
        <v>0</v>
      </c>
      <c r="N51" s="211"/>
    </row>
    <row r="52" spans="1:14" ht="15.5" x14ac:dyDescent="0.35">
      <c r="A52" s="539"/>
      <c r="B52" s="197"/>
      <c r="C52" s="199"/>
      <c r="D52" s="199"/>
      <c r="E52" s="199"/>
      <c r="F52" s="411"/>
      <c r="G52" s="412"/>
      <c r="H52" s="430"/>
      <c r="I52" s="413"/>
      <c r="J52" s="414"/>
      <c r="K52" s="450"/>
      <c r="L52" s="431"/>
      <c r="M52" s="431"/>
      <c r="N52" s="196"/>
    </row>
    <row r="53" spans="1:14" ht="18.5" x14ac:dyDescent="0.35">
      <c r="A53" s="539"/>
      <c r="B53" s="216"/>
      <c r="C53" s="188" t="s">
        <v>19</v>
      </c>
      <c r="D53" s="188" t="s">
        <v>49</v>
      </c>
      <c r="E53" s="189"/>
      <c r="F53" s="190" t="s">
        <v>297</v>
      </c>
      <c r="G53" s="191"/>
      <c r="H53" s="192" t="s">
        <v>22</v>
      </c>
      <c r="I53" s="193" t="s">
        <v>4</v>
      </c>
      <c r="J53" s="194">
        <f>3.14*((0.15*0.15)*2+(0.225*0.225)*1)</f>
        <v>0.30026250000000004</v>
      </c>
      <c r="K53" s="98"/>
      <c r="L53" s="195">
        <f>K53*J53</f>
        <v>0</v>
      </c>
      <c r="M53" s="98"/>
      <c r="N53" s="196"/>
    </row>
    <row r="54" spans="1:14" x14ac:dyDescent="0.35">
      <c r="A54" s="539"/>
      <c r="B54" s="197"/>
      <c r="C54" s="199"/>
      <c r="D54" s="199"/>
      <c r="E54" s="199"/>
      <c r="F54" s="200"/>
      <c r="G54" s="200"/>
      <c r="H54" s="192"/>
      <c r="I54" s="193"/>
      <c r="J54" s="194"/>
      <c r="K54" s="195"/>
      <c r="L54" s="195"/>
      <c r="M54" s="195"/>
      <c r="N54" s="196"/>
    </row>
    <row r="55" spans="1:14" ht="15.5" x14ac:dyDescent="0.35">
      <c r="A55" s="539"/>
      <c r="B55" s="429"/>
      <c r="C55" s="203"/>
      <c r="D55" s="203"/>
      <c r="E55" s="203"/>
      <c r="F55" s="204"/>
      <c r="G55" s="205"/>
      <c r="H55" s="206" t="s">
        <v>211</v>
      </c>
      <c r="I55" s="207"/>
      <c r="J55" s="208"/>
      <c r="K55" s="209"/>
      <c r="L55" s="210">
        <f>SUM(L53:L53)</f>
        <v>0</v>
      </c>
      <c r="M55" s="210">
        <f>SUM(M53:M53)</f>
        <v>0</v>
      </c>
      <c r="N55" s="211"/>
    </row>
    <row r="56" spans="1:14" ht="15" thickBot="1" x14ac:dyDescent="0.4">
      <c r="A56" s="539"/>
      <c r="B56" s="197"/>
      <c r="C56" s="199"/>
      <c r="D56" s="199"/>
      <c r="E56" s="199"/>
      <c r="F56" s="199"/>
      <c r="G56" s="199"/>
      <c r="H56" s="222"/>
      <c r="I56" s="222"/>
      <c r="J56" s="223"/>
      <c r="K56" s="222"/>
      <c r="L56" s="222"/>
      <c r="M56" s="222"/>
      <c r="N56" s="196"/>
    </row>
    <row r="57" spans="1:14" ht="19" thickBot="1" x14ac:dyDescent="0.4">
      <c r="A57" s="539"/>
      <c r="B57" s="526" t="s">
        <v>23</v>
      </c>
      <c r="C57" s="527"/>
      <c r="D57" s="527"/>
      <c r="E57" s="527"/>
      <c r="F57" s="527"/>
      <c r="G57" s="224"/>
      <c r="H57" s="224" t="s">
        <v>211</v>
      </c>
      <c r="I57" s="225"/>
      <c r="J57" s="226"/>
      <c r="K57" s="227"/>
      <c r="L57" s="228">
        <f>L55+L51</f>
        <v>0</v>
      </c>
      <c r="M57" s="229">
        <f>M55+M51</f>
        <v>0</v>
      </c>
      <c r="N57" s="196"/>
    </row>
    <row r="58" spans="1:14" ht="19" thickBot="1" x14ac:dyDescent="0.4">
      <c r="A58" s="540"/>
      <c r="B58" s="230"/>
      <c r="C58" s="231"/>
      <c r="D58" s="231"/>
      <c r="E58" s="232"/>
      <c r="F58" s="233"/>
      <c r="G58" s="233"/>
      <c r="H58" s="234"/>
      <c r="I58" s="235"/>
      <c r="J58" s="236"/>
      <c r="K58" s="280"/>
      <c r="L58" s="281"/>
      <c r="M58" s="278"/>
      <c r="N58" s="263"/>
    </row>
    <row r="59" spans="1:14" ht="18.5" hidden="1" x14ac:dyDescent="0.35">
      <c r="A59" s="538" t="s">
        <v>25</v>
      </c>
      <c r="B59" s="197"/>
      <c r="C59" s="198"/>
      <c r="D59" s="198"/>
      <c r="E59" s="199"/>
      <c r="F59" s="200"/>
      <c r="G59" s="200"/>
      <c r="H59" s="222"/>
      <c r="I59" s="193"/>
      <c r="J59" s="194"/>
      <c r="K59" s="195"/>
      <c r="L59" s="195"/>
      <c r="M59" s="195"/>
      <c r="N59" s="186"/>
    </row>
    <row r="60" spans="1:14" ht="18.75" hidden="1" customHeight="1" x14ac:dyDescent="0.35">
      <c r="A60" s="558"/>
      <c r="B60" s="216"/>
      <c r="C60" s="188" t="s">
        <v>26</v>
      </c>
      <c r="D60" s="188" t="s">
        <v>133</v>
      </c>
      <c r="E60" s="189"/>
      <c r="F60" s="190" t="s">
        <v>240</v>
      </c>
      <c r="G60" s="191"/>
      <c r="H60" s="192"/>
      <c r="I60" s="193" t="s">
        <v>6</v>
      </c>
      <c r="J60" s="194"/>
      <c r="K60" s="195">
        <v>0</v>
      </c>
      <c r="L60" s="195">
        <f>K60*J60</f>
        <v>0</v>
      </c>
      <c r="M60" s="195">
        <v>0</v>
      </c>
      <c r="N60" s="196"/>
    </row>
    <row r="61" spans="1:14" hidden="1" x14ac:dyDescent="0.35">
      <c r="A61" s="558"/>
      <c r="B61" s="197"/>
      <c r="C61" s="199"/>
      <c r="D61" s="199"/>
      <c r="E61" s="199"/>
      <c r="F61" s="200"/>
      <c r="G61" s="200"/>
      <c r="H61" s="192"/>
      <c r="I61" s="193"/>
      <c r="J61" s="194"/>
      <c r="K61" s="195"/>
      <c r="L61" s="195"/>
      <c r="M61" s="195"/>
      <c r="N61" s="196"/>
    </row>
    <row r="62" spans="1:14" ht="15.5" hidden="1" x14ac:dyDescent="0.35">
      <c r="A62" s="558"/>
      <c r="B62" s="429"/>
      <c r="C62" s="203"/>
      <c r="D62" s="203"/>
      <c r="E62" s="203"/>
      <c r="F62" s="204"/>
      <c r="G62" s="205"/>
      <c r="H62" s="206" t="s">
        <v>211</v>
      </c>
      <c r="I62" s="207"/>
      <c r="J62" s="208"/>
      <c r="K62" s="209"/>
      <c r="L62" s="210">
        <f>SUM(L60:L60)</f>
        <v>0</v>
      </c>
      <c r="M62" s="210">
        <f>SUM(M60:M60)</f>
        <v>0</v>
      </c>
      <c r="N62" s="211"/>
    </row>
    <row r="63" spans="1:14" ht="15" hidden="1" thickBot="1" x14ac:dyDescent="0.4">
      <c r="A63" s="539"/>
      <c r="B63" s="197"/>
      <c r="C63" s="199"/>
      <c r="D63" s="199"/>
      <c r="E63" s="199"/>
      <c r="F63" s="199"/>
      <c r="G63" s="199"/>
      <c r="H63" s="222"/>
      <c r="I63" s="222"/>
      <c r="J63" s="223"/>
      <c r="K63" s="222"/>
      <c r="L63" s="222"/>
      <c r="M63" s="222"/>
      <c r="N63" s="196"/>
    </row>
    <row r="64" spans="1:14" ht="19" hidden="1" thickBot="1" x14ac:dyDescent="0.4">
      <c r="A64" s="539"/>
      <c r="B64" s="526" t="s">
        <v>24</v>
      </c>
      <c r="C64" s="527"/>
      <c r="D64" s="527"/>
      <c r="E64" s="527"/>
      <c r="F64" s="527"/>
      <c r="G64" s="224"/>
      <c r="H64" s="224" t="s">
        <v>211</v>
      </c>
      <c r="I64" s="225"/>
      <c r="J64" s="226"/>
      <c r="K64" s="227"/>
      <c r="L64" s="228">
        <f>L62</f>
        <v>0</v>
      </c>
      <c r="M64" s="229">
        <f>M62</f>
        <v>0</v>
      </c>
      <c r="N64" s="196"/>
    </row>
    <row r="65" spans="1:14" ht="19" hidden="1" thickBot="1" x14ac:dyDescent="0.4">
      <c r="A65" s="540"/>
      <c r="B65" s="230"/>
      <c r="C65" s="231"/>
      <c r="D65" s="231"/>
      <c r="E65" s="232"/>
      <c r="F65" s="233"/>
      <c r="G65" s="233"/>
      <c r="H65" s="234"/>
      <c r="I65" s="235"/>
      <c r="J65" s="236"/>
      <c r="K65" s="237"/>
      <c r="L65" s="238"/>
      <c r="M65" s="239"/>
      <c r="N65" s="196"/>
    </row>
    <row r="66" spans="1:14" ht="18.5" hidden="1" x14ac:dyDescent="0.35">
      <c r="A66" s="543" t="s">
        <v>30</v>
      </c>
      <c r="B66" s="217"/>
      <c r="C66" s="138"/>
      <c r="D66" s="138"/>
      <c r="E66" s="219"/>
      <c r="F66" s="288"/>
      <c r="G66" s="288"/>
      <c r="H66" s="289"/>
      <c r="I66" s="285"/>
      <c r="J66" s="286"/>
      <c r="K66" s="287"/>
      <c r="L66" s="287"/>
      <c r="M66" s="287"/>
      <c r="N66" s="186"/>
    </row>
    <row r="67" spans="1:14" ht="18.75" hidden="1" customHeight="1" x14ac:dyDescent="0.35">
      <c r="A67" s="544"/>
      <c r="B67" s="216"/>
      <c r="C67" s="188" t="s">
        <v>31</v>
      </c>
      <c r="D67" s="188" t="s">
        <v>48</v>
      </c>
      <c r="E67" s="189"/>
      <c r="F67" s="190" t="s">
        <v>239</v>
      </c>
      <c r="G67" s="283"/>
      <c r="H67" s="284"/>
      <c r="I67" s="285"/>
      <c r="J67" s="286"/>
      <c r="K67" s="287">
        <v>0</v>
      </c>
      <c r="L67" s="287">
        <f>K67*J67</f>
        <v>0</v>
      </c>
      <c r="M67" s="287">
        <v>0</v>
      </c>
      <c r="N67" s="196"/>
    </row>
    <row r="68" spans="1:14" hidden="1" x14ac:dyDescent="0.35">
      <c r="A68" s="544"/>
      <c r="B68" s="217"/>
      <c r="C68" s="219"/>
      <c r="D68" s="219"/>
      <c r="E68" s="219"/>
      <c r="F68" s="288"/>
      <c r="G68" s="288"/>
      <c r="H68" s="284"/>
      <c r="I68" s="285"/>
      <c r="J68" s="286"/>
      <c r="K68" s="287"/>
      <c r="L68" s="287"/>
      <c r="M68" s="287"/>
      <c r="N68" s="196"/>
    </row>
    <row r="69" spans="1:14" ht="15.5" hidden="1" x14ac:dyDescent="0.35">
      <c r="A69" s="544"/>
      <c r="B69" s="290"/>
      <c r="C69" s="265"/>
      <c r="D69" s="265"/>
      <c r="E69" s="265"/>
      <c r="F69" s="266"/>
      <c r="G69" s="267"/>
      <c r="H69" s="206" t="s">
        <v>211</v>
      </c>
      <c r="I69" s="268"/>
      <c r="J69" s="269"/>
      <c r="K69" s="270"/>
      <c r="L69" s="210">
        <f>SUM(L67:L67)</f>
        <v>0</v>
      </c>
      <c r="M69" s="210">
        <f>SUM(M67:M67)</f>
        <v>0</v>
      </c>
      <c r="N69" s="211"/>
    </row>
    <row r="70" spans="1:14" ht="15" hidden="1" thickBot="1" x14ac:dyDescent="0.4">
      <c r="A70" s="544"/>
      <c r="B70" s="455"/>
      <c r="C70" s="456"/>
      <c r="D70" s="456"/>
      <c r="E70" s="456"/>
      <c r="F70" s="456"/>
      <c r="G70" s="456"/>
      <c r="H70" s="401"/>
      <c r="I70" s="401"/>
      <c r="J70" s="457"/>
      <c r="K70" s="401"/>
      <c r="L70" s="401"/>
      <c r="M70" s="401"/>
      <c r="N70" s="196"/>
    </row>
    <row r="71" spans="1:14" ht="19" hidden="1" thickBot="1" x14ac:dyDescent="0.4">
      <c r="A71" s="544"/>
      <c r="B71" s="526" t="s">
        <v>28</v>
      </c>
      <c r="C71" s="527"/>
      <c r="D71" s="527"/>
      <c r="E71" s="527"/>
      <c r="F71" s="527"/>
      <c r="G71" s="224"/>
      <c r="H71" s="224" t="s">
        <v>211</v>
      </c>
      <c r="I71" s="225"/>
      <c r="J71" s="226"/>
      <c r="K71" s="227"/>
      <c r="L71" s="228">
        <f>L69</f>
        <v>0</v>
      </c>
      <c r="M71" s="229">
        <f>M69</f>
        <v>0</v>
      </c>
      <c r="N71" s="196"/>
    </row>
    <row r="72" spans="1:14" ht="19" hidden="1" thickBot="1" x14ac:dyDescent="0.4">
      <c r="A72" s="545"/>
      <c r="B72" s="458"/>
      <c r="C72" s="459"/>
      <c r="D72" s="459"/>
      <c r="E72" s="460"/>
      <c r="F72" s="461"/>
      <c r="G72" s="461"/>
      <c r="H72" s="462"/>
      <c r="I72" s="239"/>
      <c r="J72" s="463"/>
      <c r="K72" s="464"/>
      <c r="L72" s="238"/>
      <c r="M72" s="239"/>
      <c r="N72" s="240"/>
    </row>
    <row r="73" spans="1:14" ht="18.5" x14ac:dyDescent="0.35">
      <c r="A73" s="538" t="s">
        <v>32</v>
      </c>
      <c r="B73" s="181"/>
      <c r="C73" s="292"/>
      <c r="D73" s="292"/>
      <c r="E73" s="182"/>
      <c r="F73" s="293"/>
      <c r="G73" s="293"/>
      <c r="H73" s="183"/>
      <c r="I73" s="294"/>
      <c r="J73" s="295"/>
      <c r="K73" s="296"/>
      <c r="L73" s="296"/>
      <c r="M73" s="296"/>
      <c r="N73" s="186"/>
    </row>
    <row r="74" spans="1:14" ht="29" x14ac:dyDescent="0.35">
      <c r="A74" s="539"/>
      <c r="B74" s="216"/>
      <c r="C74" s="188" t="s">
        <v>33</v>
      </c>
      <c r="D74" s="188" t="s">
        <v>133</v>
      </c>
      <c r="E74" s="189"/>
      <c r="F74" s="190" t="s">
        <v>332</v>
      </c>
      <c r="G74" s="191"/>
      <c r="H74" s="443" t="s">
        <v>324</v>
      </c>
      <c r="I74" s="193" t="s">
        <v>354</v>
      </c>
      <c r="J74" s="194">
        <v>8</v>
      </c>
      <c r="K74" s="195">
        <v>0</v>
      </c>
      <c r="L74" s="195">
        <f>K74*J74</f>
        <v>0</v>
      </c>
      <c r="M74" s="287">
        <v>0</v>
      </c>
      <c r="N74" s="196" t="s">
        <v>340</v>
      </c>
    </row>
    <row r="75" spans="1:14" x14ac:dyDescent="0.35">
      <c r="A75" s="539"/>
      <c r="B75" s="197"/>
      <c r="C75" s="199"/>
      <c r="D75" s="199"/>
      <c r="E75" s="199"/>
      <c r="F75" s="200"/>
      <c r="G75" s="200"/>
      <c r="H75" s="192"/>
      <c r="I75" s="193"/>
      <c r="J75" s="194"/>
      <c r="K75" s="195"/>
      <c r="L75" s="195"/>
      <c r="M75" s="195"/>
      <c r="N75" s="196"/>
    </row>
    <row r="76" spans="1:14" ht="15.5" x14ac:dyDescent="0.35">
      <c r="A76" s="539"/>
      <c r="B76" s="429"/>
      <c r="C76" s="203"/>
      <c r="D76" s="203"/>
      <c r="E76" s="203"/>
      <c r="F76" s="204"/>
      <c r="G76" s="205"/>
      <c r="H76" s="206" t="s">
        <v>211</v>
      </c>
      <c r="I76" s="207"/>
      <c r="J76" s="208"/>
      <c r="K76" s="209"/>
      <c r="L76" s="210">
        <f>SUM(L74:L74)</f>
        <v>0</v>
      </c>
      <c r="M76" s="210">
        <f>SUM(M74:M74)</f>
        <v>0</v>
      </c>
      <c r="N76" s="211"/>
    </row>
    <row r="77" spans="1:14" ht="15" thickBot="1" x14ac:dyDescent="0.4">
      <c r="A77" s="539"/>
      <c r="B77" s="197"/>
      <c r="C77" s="199"/>
      <c r="D77" s="199"/>
      <c r="E77" s="199"/>
      <c r="F77" s="199"/>
      <c r="G77" s="199"/>
      <c r="H77" s="222"/>
      <c r="I77" s="222"/>
      <c r="J77" s="223"/>
      <c r="K77" s="222"/>
      <c r="L77" s="222"/>
      <c r="M77" s="222"/>
      <c r="N77" s="196"/>
    </row>
    <row r="78" spans="1:14" ht="21.5" thickBot="1" x14ac:dyDescent="0.4">
      <c r="A78" s="539"/>
      <c r="B78" s="526" t="s">
        <v>29</v>
      </c>
      <c r="C78" s="527"/>
      <c r="D78" s="527"/>
      <c r="E78" s="527"/>
      <c r="F78" s="527"/>
      <c r="G78" s="224"/>
      <c r="H78" s="224" t="s">
        <v>211</v>
      </c>
      <c r="I78" s="225"/>
      <c r="J78" s="226"/>
      <c r="K78" s="227"/>
      <c r="L78" s="228">
        <f>L76</f>
        <v>0</v>
      </c>
      <c r="M78" s="229">
        <f>M76</f>
        <v>0</v>
      </c>
      <c r="N78" s="305"/>
    </row>
    <row r="79" spans="1:14" ht="19" thickBot="1" x14ac:dyDescent="0.4">
      <c r="A79" s="540"/>
      <c r="B79" s="230"/>
      <c r="C79" s="231"/>
      <c r="D79" s="231"/>
      <c r="E79" s="232"/>
      <c r="F79" s="233"/>
      <c r="G79" s="233"/>
      <c r="H79" s="234"/>
      <c r="I79" s="235"/>
      <c r="J79" s="236"/>
      <c r="K79" s="237"/>
      <c r="L79" s="281"/>
      <c r="M79" s="278"/>
      <c r="N79" s="291"/>
    </row>
    <row r="80" spans="1:14" x14ac:dyDescent="0.35">
      <c r="A80" s="10"/>
      <c r="J80" s="12"/>
    </row>
    <row r="81" spans="1:13" x14ac:dyDescent="0.35">
      <c r="A81" s="10"/>
      <c r="J81" s="12"/>
    </row>
    <row r="82" spans="1:13" x14ac:dyDescent="0.35">
      <c r="A82" s="10"/>
      <c r="J82" s="12"/>
    </row>
    <row r="83" spans="1:13" x14ac:dyDescent="0.35">
      <c r="A83" s="10"/>
      <c r="J83" s="12"/>
    </row>
    <row r="84" spans="1:13" x14ac:dyDescent="0.35">
      <c r="A84" s="10"/>
      <c r="J84" s="12"/>
    </row>
    <row r="85" spans="1:13" x14ac:dyDescent="0.35">
      <c r="A85" s="10"/>
      <c r="J85" s="12"/>
    </row>
    <row r="86" spans="1:13" x14ac:dyDescent="0.35">
      <c r="A86" s="10"/>
      <c r="J86" s="12"/>
    </row>
    <row r="87" spans="1:13" x14ac:dyDescent="0.35">
      <c r="A87" s="10"/>
      <c r="J87" s="12"/>
    </row>
    <row r="88" spans="1:13" x14ac:dyDescent="0.35">
      <c r="A88" s="10"/>
      <c r="J88" s="12"/>
    </row>
    <row r="89" spans="1:13" x14ac:dyDescent="0.35">
      <c r="A89" s="10"/>
      <c r="J89" s="12"/>
      <c r="M89" s="93"/>
    </row>
    <row r="90" spans="1:13" x14ac:dyDescent="0.35">
      <c r="A90" s="10"/>
      <c r="J90" s="12"/>
    </row>
    <row r="91" spans="1:13" x14ac:dyDescent="0.35">
      <c r="A91" s="10"/>
      <c r="J91" s="12"/>
    </row>
    <row r="92" spans="1:13" x14ac:dyDescent="0.35">
      <c r="A92" s="10"/>
      <c r="J92" s="12"/>
    </row>
    <row r="93" spans="1:13" x14ac:dyDescent="0.35">
      <c r="A93" s="10"/>
      <c r="J93" s="12"/>
    </row>
    <row r="94" spans="1:13" x14ac:dyDescent="0.35">
      <c r="A94" s="10"/>
      <c r="J94" s="12"/>
    </row>
    <row r="95" spans="1:13" x14ac:dyDescent="0.35">
      <c r="A95" s="10"/>
      <c r="J95" s="12"/>
    </row>
    <row r="96" spans="1:13" x14ac:dyDescent="0.35">
      <c r="A96" s="10"/>
      <c r="J96" s="12"/>
    </row>
    <row r="97" spans="1:10" x14ac:dyDescent="0.35">
      <c r="A97" s="10"/>
      <c r="J97" s="12"/>
    </row>
    <row r="98" spans="1:10" x14ac:dyDescent="0.35">
      <c r="A98" s="10"/>
      <c r="J98" s="12"/>
    </row>
    <row r="99" spans="1:10" x14ac:dyDescent="0.35">
      <c r="A99" s="10"/>
      <c r="J99" s="12"/>
    </row>
    <row r="100" spans="1:10" x14ac:dyDescent="0.35">
      <c r="A100" s="10"/>
      <c r="J100" s="12"/>
    </row>
    <row r="101" spans="1:10" x14ac:dyDescent="0.35">
      <c r="A101" s="10"/>
      <c r="J101" s="12"/>
    </row>
    <row r="102" spans="1:10" x14ac:dyDescent="0.35">
      <c r="A102" s="10"/>
      <c r="J102" s="12"/>
    </row>
    <row r="103" spans="1:10" x14ac:dyDescent="0.35">
      <c r="A103" s="10"/>
      <c r="J103" s="12"/>
    </row>
    <row r="104" spans="1:10" x14ac:dyDescent="0.35">
      <c r="A104" s="10"/>
      <c r="J104" s="12"/>
    </row>
    <row r="105" spans="1:10" x14ac:dyDescent="0.35">
      <c r="A105" s="10"/>
      <c r="J105" s="12"/>
    </row>
    <row r="106" spans="1:10" x14ac:dyDescent="0.35">
      <c r="A106" s="10"/>
      <c r="J106" s="12"/>
    </row>
    <row r="107" spans="1:10" x14ac:dyDescent="0.35">
      <c r="A107" s="10"/>
      <c r="J107" s="12"/>
    </row>
    <row r="108" spans="1:10" x14ac:dyDescent="0.35">
      <c r="A108" s="10"/>
      <c r="J108" s="12"/>
    </row>
    <row r="109" spans="1:10" x14ac:dyDescent="0.35">
      <c r="A109" s="10"/>
      <c r="J109" s="12"/>
    </row>
    <row r="110" spans="1:10" x14ac:dyDescent="0.35">
      <c r="A110" s="10"/>
      <c r="J110" s="12"/>
    </row>
    <row r="111" spans="1:10" x14ac:dyDescent="0.35">
      <c r="A111" s="10"/>
      <c r="J111" s="12"/>
    </row>
    <row r="112" spans="1:10" x14ac:dyDescent="0.35">
      <c r="A112" s="10"/>
      <c r="J112" s="12"/>
    </row>
    <row r="113" spans="1:10" x14ac:dyDescent="0.35">
      <c r="A113" s="10"/>
      <c r="J113" s="12"/>
    </row>
    <row r="114" spans="1:10" x14ac:dyDescent="0.35">
      <c r="A114" s="10"/>
      <c r="J114" s="12"/>
    </row>
    <row r="115" spans="1:10" x14ac:dyDescent="0.35">
      <c r="A115" s="10"/>
      <c r="J115" s="12"/>
    </row>
    <row r="116" spans="1:10" x14ac:dyDescent="0.35">
      <c r="A116" s="10"/>
      <c r="J116" s="12"/>
    </row>
    <row r="117" spans="1:10" x14ac:dyDescent="0.35">
      <c r="A117" s="10"/>
      <c r="J117" s="12"/>
    </row>
    <row r="118" spans="1:10" x14ac:dyDescent="0.35">
      <c r="J118" s="12"/>
    </row>
    <row r="119" spans="1:10" x14ac:dyDescent="0.35">
      <c r="J119" s="12"/>
    </row>
    <row r="120" spans="1:10" x14ac:dyDescent="0.35">
      <c r="J120" s="12"/>
    </row>
    <row r="121" spans="1:10" x14ac:dyDescent="0.35">
      <c r="J121" s="12"/>
    </row>
    <row r="122" spans="1:10" x14ac:dyDescent="0.35">
      <c r="J122" s="12"/>
    </row>
    <row r="123" spans="1:10" x14ac:dyDescent="0.35">
      <c r="J123" s="12"/>
    </row>
    <row r="124" spans="1:10" x14ac:dyDescent="0.35">
      <c r="J124" s="12"/>
    </row>
    <row r="125" spans="1:10" x14ac:dyDescent="0.35">
      <c r="J125" s="12"/>
    </row>
    <row r="126" spans="1:10" x14ac:dyDescent="0.35">
      <c r="J126" s="12"/>
    </row>
    <row r="127" spans="1:10" x14ac:dyDescent="0.35">
      <c r="J127" s="12"/>
    </row>
    <row r="128" spans="1:10" x14ac:dyDescent="0.35">
      <c r="J128" s="12"/>
    </row>
    <row r="129" spans="10:10" x14ac:dyDescent="0.35">
      <c r="J129" s="12"/>
    </row>
    <row r="130" spans="10:10" x14ac:dyDescent="0.35">
      <c r="J130" s="12"/>
    </row>
    <row r="131" spans="10:10" x14ac:dyDescent="0.35">
      <c r="J131" s="12"/>
    </row>
    <row r="132" spans="10:10" x14ac:dyDescent="0.35">
      <c r="J132" s="12"/>
    </row>
    <row r="133" spans="10:10" x14ac:dyDescent="0.35">
      <c r="J133" s="12"/>
    </row>
    <row r="134" spans="10:10" x14ac:dyDescent="0.35">
      <c r="J134" s="12"/>
    </row>
    <row r="135" spans="10:10" x14ac:dyDescent="0.35">
      <c r="J135" s="12"/>
    </row>
    <row r="136" spans="10:10" x14ac:dyDescent="0.35">
      <c r="J136" s="12"/>
    </row>
    <row r="137" spans="10:10" x14ac:dyDescent="0.35">
      <c r="J137" s="12"/>
    </row>
    <row r="138" spans="10:10" x14ac:dyDescent="0.35">
      <c r="J138" s="12"/>
    </row>
    <row r="139" spans="10:10" x14ac:dyDescent="0.35">
      <c r="J139" s="12"/>
    </row>
    <row r="140" spans="10:10" x14ac:dyDescent="0.35">
      <c r="J140" s="12"/>
    </row>
    <row r="141" spans="10:10" x14ac:dyDescent="0.35">
      <c r="J141" s="12"/>
    </row>
    <row r="142" spans="10:10" x14ac:dyDescent="0.35">
      <c r="J142" s="12"/>
    </row>
    <row r="143" spans="10:10" x14ac:dyDescent="0.35">
      <c r="J143" s="12"/>
    </row>
    <row r="144" spans="10:10" x14ac:dyDescent="0.35">
      <c r="J144" s="12"/>
    </row>
    <row r="145" spans="10:10" x14ac:dyDescent="0.35">
      <c r="J145" s="12"/>
    </row>
    <row r="146" spans="10:10" x14ac:dyDescent="0.35">
      <c r="J146" s="12"/>
    </row>
    <row r="147" spans="10:10" x14ac:dyDescent="0.35">
      <c r="J147" s="12"/>
    </row>
    <row r="148" spans="10:10" x14ac:dyDescent="0.35">
      <c r="J148" s="12"/>
    </row>
    <row r="149" spans="10:10" x14ac:dyDescent="0.35">
      <c r="J149" s="12"/>
    </row>
    <row r="150" spans="10:10" x14ac:dyDescent="0.35">
      <c r="J150" s="12"/>
    </row>
    <row r="151" spans="10:10" x14ac:dyDescent="0.35">
      <c r="J151" s="12"/>
    </row>
    <row r="152" spans="10:10" x14ac:dyDescent="0.35">
      <c r="J152" s="12"/>
    </row>
    <row r="153" spans="10:10" x14ac:dyDescent="0.35">
      <c r="J153" s="12"/>
    </row>
    <row r="154" spans="10:10" x14ac:dyDescent="0.35">
      <c r="J154" s="12"/>
    </row>
    <row r="155" spans="10:10" x14ac:dyDescent="0.35">
      <c r="J155" s="12"/>
    </row>
    <row r="156" spans="10:10" x14ac:dyDescent="0.35">
      <c r="J156" s="12"/>
    </row>
    <row r="157" spans="10:10" x14ac:dyDescent="0.35">
      <c r="J157" s="12"/>
    </row>
    <row r="158" spans="10:10" x14ac:dyDescent="0.35">
      <c r="J158" s="12"/>
    </row>
    <row r="159" spans="10:10" x14ac:dyDescent="0.35">
      <c r="J159" s="12"/>
    </row>
    <row r="160" spans="10:10" x14ac:dyDescent="0.35">
      <c r="J160" s="12"/>
    </row>
    <row r="161" spans="10:10" x14ac:dyDescent="0.35">
      <c r="J161" s="12"/>
    </row>
    <row r="162" spans="10:10" x14ac:dyDescent="0.35">
      <c r="J162" s="12"/>
    </row>
    <row r="163" spans="10:10" x14ac:dyDescent="0.35">
      <c r="J163" s="12"/>
    </row>
    <row r="164" spans="10:10" x14ac:dyDescent="0.35">
      <c r="J164" s="12"/>
    </row>
    <row r="165" spans="10:10" x14ac:dyDescent="0.35">
      <c r="J165" s="12"/>
    </row>
    <row r="166" spans="10:10" x14ac:dyDescent="0.35">
      <c r="J166" s="12"/>
    </row>
    <row r="167" spans="10:10" x14ac:dyDescent="0.35">
      <c r="J167" s="12"/>
    </row>
    <row r="168" spans="10:10" x14ac:dyDescent="0.35">
      <c r="J168" s="12"/>
    </row>
    <row r="169" spans="10:10" x14ac:dyDescent="0.35">
      <c r="J169" s="12"/>
    </row>
    <row r="170" spans="10:10" x14ac:dyDescent="0.35">
      <c r="J170" s="12"/>
    </row>
    <row r="171" spans="10:10" x14ac:dyDescent="0.35">
      <c r="J171" s="12"/>
    </row>
    <row r="172" spans="10:10" x14ac:dyDescent="0.35">
      <c r="J172" s="12"/>
    </row>
    <row r="173" spans="10:10" x14ac:dyDescent="0.35">
      <c r="J173" s="12"/>
    </row>
    <row r="174" spans="10:10" x14ac:dyDescent="0.35">
      <c r="J174" s="12"/>
    </row>
    <row r="175" spans="10:10" x14ac:dyDescent="0.35">
      <c r="J175" s="12"/>
    </row>
    <row r="176" spans="10:10" x14ac:dyDescent="0.35">
      <c r="J176" s="12"/>
    </row>
    <row r="177" spans="10:10" x14ac:dyDescent="0.35">
      <c r="J177" s="12"/>
    </row>
    <row r="178" spans="10:10" x14ac:dyDescent="0.35">
      <c r="J178" s="12"/>
    </row>
    <row r="179" spans="10:10" x14ac:dyDescent="0.35">
      <c r="J179" s="12"/>
    </row>
    <row r="180" spans="10:10" x14ac:dyDescent="0.35">
      <c r="J180" s="12"/>
    </row>
    <row r="181" spans="10:10" x14ac:dyDescent="0.35">
      <c r="J181" s="12"/>
    </row>
    <row r="182" spans="10:10" x14ac:dyDescent="0.35">
      <c r="J182" s="12"/>
    </row>
    <row r="183" spans="10:10" x14ac:dyDescent="0.35">
      <c r="J183" s="12"/>
    </row>
    <row r="184" spans="10:10" x14ac:dyDescent="0.35">
      <c r="J184" s="12"/>
    </row>
    <row r="185" spans="10:10" x14ac:dyDescent="0.35">
      <c r="J185" s="12"/>
    </row>
    <row r="186" spans="10:10" x14ac:dyDescent="0.35">
      <c r="J186" s="12"/>
    </row>
    <row r="187" spans="10:10" x14ac:dyDescent="0.35">
      <c r="J187" s="12"/>
    </row>
    <row r="188" spans="10:10" x14ac:dyDescent="0.35">
      <c r="J188" s="12"/>
    </row>
    <row r="189" spans="10:10" x14ac:dyDescent="0.35">
      <c r="J189" s="12"/>
    </row>
    <row r="190" spans="10:10" x14ac:dyDescent="0.35">
      <c r="J190" s="12"/>
    </row>
    <row r="191" spans="10:10" x14ac:dyDescent="0.35">
      <c r="J191" s="12"/>
    </row>
    <row r="192" spans="10:10" x14ac:dyDescent="0.35">
      <c r="J192" s="12"/>
    </row>
    <row r="193" spans="10:10" x14ac:dyDescent="0.35">
      <c r="J193" s="12"/>
    </row>
    <row r="194" spans="10:10" x14ac:dyDescent="0.35">
      <c r="J194" s="12"/>
    </row>
    <row r="195" spans="10:10" x14ac:dyDescent="0.35">
      <c r="J195" s="12"/>
    </row>
    <row r="196" spans="10:10" x14ac:dyDescent="0.35">
      <c r="J196" s="12"/>
    </row>
    <row r="197" spans="10:10" x14ac:dyDescent="0.35">
      <c r="J197" s="12"/>
    </row>
    <row r="198" spans="10:10" x14ac:dyDescent="0.35">
      <c r="J198" s="12"/>
    </row>
    <row r="199" spans="10:10" x14ac:dyDescent="0.35">
      <c r="J199" s="12"/>
    </row>
    <row r="200" spans="10:10" x14ac:dyDescent="0.35">
      <c r="J200" s="12"/>
    </row>
    <row r="201" spans="10:10" x14ac:dyDescent="0.35">
      <c r="J201" s="12"/>
    </row>
    <row r="202" spans="10:10" x14ac:dyDescent="0.35">
      <c r="J202" s="12"/>
    </row>
    <row r="203" spans="10:10" x14ac:dyDescent="0.35">
      <c r="J203" s="12"/>
    </row>
    <row r="204" spans="10:10" x14ac:dyDescent="0.35">
      <c r="J204" s="12"/>
    </row>
    <row r="205" spans="10:10" x14ac:dyDescent="0.35">
      <c r="J205" s="12"/>
    </row>
    <row r="206" spans="10:10" x14ac:dyDescent="0.35">
      <c r="J206" s="12"/>
    </row>
    <row r="207" spans="10:10" x14ac:dyDescent="0.35">
      <c r="J207" s="12"/>
    </row>
    <row r="208" spans="10:10" x14ac:dyDescent="0.35">
      <c r="J208" s="12"/>
    </row>
    <row r="209" spans="10:10" x14ac:dyDescent="0.35">
      <c r="J209" s="12"/>
    </row>
    <row r="210" spans="10:10" x14ac:dyDescent="0.35">
      <c r="J210" s="12"/>
    </row>
    <row r="211" spans="10:10" x14ac:dyDescent="0.35">
      <c r="J211" s="12"/>
    </row>
    <row r="212" spans="10:10" x14ac:dyDescent="0.35">
      <c r="J212" s="12"/>
    </row>
    <row r="213" spans="10:10" x14ac:dyDescent="0.35">
      <c r="J213" s="12"/>
    </row>
    <row r="214" spans="10:10" x14ac:dyDescent="0.35">
      <c r="J214" s="12"/>
    </row>
    <row r="215" spans="10:10" x14ac:dyDescent="0.35">
      <c r="J215" s="12"/>
    </row>
    <row r="216" spans="10:10" x14ac:dyDescent="0.35">
      <c r="J216" s="12"/>
    </row>
    <row r="217" spans="10:10" x14ac:dyDescent="0.35">
      <c r="J217" s="12"/>
    </row>
    <row r="218" spans="10:10" x14ac:dyDescent="0.35">
      <c r="J218" s="12"/>
    </row>
    <row r="219" spans="10:10" x14ac:dyDescent="0.35">
      <c r="J219" s="12"/>
    </row>
    <row r="220" spans="10:10" x14ac:dyDescent="0.35">
      <c r="J220" s="12"/>
    </row>
    <row r="221" spans="10:10" x14ac:dyDescent="0.35">
      <c r="J221" s="12"/>
    </row>
    <row r="222" spans="10:10" x14ac:dyDescent="0.35">
      <c r="J222" s="12"/>
    </row>
    <row r="223" spans="10:10" x14ac:dyDescent="0.35">
      <c r="J223" s="12"/>
    </row>
    <row r="224" spans="10:10" x14ac:dyDescent="0.35">
      <c r="J224" s="12"/>
    </row>
    <row r="225" spans="10:10" x14ac:dyDescent="0.35">
      <c r="J225" s="12"/>
    </row>
    <row r="226" spans="10:10" x14ac:dyDescent="0.35">
      <c r="J226" s="12"/>
    </row>
    <row r="227" spans="10:10" x14ac:dyDescent="0.35">
      <c r="J227" s="12"/>
    </row>
    <row r="228" spans="10:10" x14ac:dyDescent="0.35">
      <c r="J228" s="12"/>
    </row>
    <row r="229" spans="10:10" x14ac:dyDescent="0.35">
      <c r="J229" s="12"/>
    </row>
    <row r="230" spans="10:10" x14ac:dyDescent="0.35">
      <c r="J230" s="12"/>
    </row>
    <row r="231" spans="10:10" x14ac:dyDescent="0.35">
      <c r="J231" s="12"/>
    </row>
    <row r="232" spans="10:10" x14ac:dyDescent="0.35">
      <c r="J232" s="12"/>
    </row>
    <row r="233" spans="10:10" x14ac:dyDescent="0.35">
      <c r="J233" s="12"/>
    </row>
    <row r="234" spans="10:10" x14ac:dyDescent="0.35">
      <c r="J234" s="12"/>
    </row>
    <row r="235" spans="10:10" x14ac:dyDescent="0.35">
      <c r="J235" s="12"/>
    </row>
    <row r="236" spans="10:10" x14ac:dyDescent="0.35">
      <c r="J236" s="12"/>
    </row>
    <row r="237" spans="10:10" x14ac:dyDescent="0.35">
      <c r="J237" s="12"/>
    </row>
    <row r="238" spans="10:10" x14ac:dyDescent="0.35">
      <c r="J238" s="12"/>
    </row>
    <row r="239" spans="10:10" x14ac:dyDescent="0.35">
      <c r="J239" s="12"/>
    </row>
    <row r="240" spans="10:10" x14ac:dyDescent="0.35">
      <c r="J240" s="12"/>
    </row>
    <row r="241" spans="10:10" x14ac:dyDescent="0.35">
      <c r="J241" s="12"/>
    </row>
    <row r="242" spans="10:10" x14ac:dyDescent="0.35">
      <c r="J242" s="12"/>
    </row>
    <row r="243" spans="10:10" x14ac:dyDescent="0.35">
      <c r="J243" s="12"/>
    </row>
    <row r="244" spans="10:10" x14ac:dyDescent="0.35">
      <c r="J244" s="12"/>
    </row>
    <row r="245" spans="10:10" x14ac:dyDescent="0.35">
      <c r="J245" s="12"/>
    </row>
    <row r="246" spans="10:10" x14ac:dyDescent="0.35">
      <c r="J246" s="12"/>
    </row>
    <row r="247" spans="10:10" x14ac:dyDescent="0.35">
      <c r="J247" s="12"/>
    </row>
    <row r="248" spans="10:10" x14ac:dyDescent="0.35">
      <c r="J248" s="12"/>
    </row>
    <row r="249" spans="10:10" x14ac:dyDescent="0.35">
      <c r="J249" s="12"/>
    </row>
    <row r="250" spans="10:10" x14ac:dyDescent="0.35">
      <c r="J250" s="12"/>
    </row>
    <row r="251" spans="10:10" x14ac:dyDescent="0.35">
      <c r="J251" s="12"/>
    </row>
    <row r="252" spans="10:10" x14ac:dyDescent="0.35">
      <c r="J252" s="12"/>
    </row>
    <row r="253" spans="10:10" x14ac:dyDescent="0.35">
      <c r="J253" s="12"/>
    </row>
    <row r="254" spans="10:10" x14ac:dyDescent="0.35">
      <c r="J254" s="12"/>
    </row>
    <row r="255" spans="10:10" x14ac:dyDescent="0.35">
      <c r="J255" s="12"/>
    </row>
    <row r="256" spans="10:10" x14ac:dyDescent="0.35">
      <c r="J256" s="12"/>
    </row>
    <row r="257" spans="10:10" x14ac:dyDescent="0.35">
      <c r="J257" s="12"/>
    </row>
    <row r="258" spans="10:10" x14ac:dyDescent="0.35">
      <c r="J258" s="12"/>
    </row>
    <row r="259" spans="10:10" x14ac:dyDescent="0.35">
      <c r="J259" s="12"/>
    </row>
    <row r="260" spans="10:10" x14ac:dyDescent="0.35">
      <c r="J260" s="12"/>
    </row>
    <row r="261" spans="10:10" x14ac:dyDescent="0.35">
      <c r="J261" s="12"/>
    </row>
    <row r="262" spans="10:10" x14ac:dyDescent="0.35">
      <c r="J262" s="12"/>
    </row>
    <row r="263" spans="10:10" x14ac:dyDescent="0.35">
      <c r="J263" s="12"/>
    </row>
    <row r="264" spans="10:10" x14ac:dyDescent="0.35">
      <c r="J264" s="12"/>
    </row>
    <row r="265" spans="10:10" x14ac:dyDescent="0.35">
      <c r="J265" s="12"/>
    </row>
    <row r="266" spans="10:10" x14ac:dyDescent="0.35">
      <c r="J266" s="12"/>
    </row>
    <row r="267" spans="10:10" x14ac:dyDescent="0.35">
      <c r="J267" s="12"/>
    </row>
    <row r="268" spans="10:10" x14ac:dyDescent="0.35">
      <c r="J268" s="12"/>
    </row>
    <row r="269" spans="10:10" x14ac:dyDescent="0.35">
      <c r="J269" s="12"/>
    </row>
    <row r="270" spans="10:10" x14ac:dyDescent="0.35">
      <c r="J270" s="12"/>
    </row>
  </sheetData>
  <sheetProtection sheet="1" objects="1" scenarios="1"/>
  <mergeCells count="19">
    <mergeCell ref="A2:N2"/>
    <mergeCell ref="A5:G5"/>
    <mergeCell ref="A6:G6"/>
    <mergeCell ref="A7:G7"/>
    <mergeCell ref="B46:F46"/>
    <mergeCell ref="A9:G9"/>
    <mergeCell ref="F12:G12"/>
    <mergeCell ref="C12:D12"/>
    <mergeCell ref="A10:K10"/>
    <mergeCell ref="A8:G8"/>
    <mergeCell ref="A73:A79"/>
    <mergeCell ref="B78:F78"/>
    <mergeCell ref="A14:A47"/>
    <mergeCell ref="A48:A58"/>
    <mergeCell ref="B57:F57"/>
    <mergeCell ref="A59:A65"/>
    <mergeCell ref="B64:F64"/>
    <mergeCell ref="A66:A72"/>
    <mergeCell ref="B71:F71"/>
  </mergeCells>
  <pageMargins left="0.2" right="0.15" top="0.18" bottom="0.36" header="0.31496062992125984" footer="0.12"/>
  <pageSetup paperSize="9" scale="42" firstPageNumber="20" fitToHeight="0" orientation="landscape" useFirstPageNumber="1" horizontalDpi="1200" verticalDpi="1200" r:id="rId1"/>
  <headerFooter>
    <oddFooter>&amp;C&amp;P</oddFooter>
  </headerFooter>
  <ignoredErrors>
    <ignoredError sqref="E27 E31 E3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00_SOUHRNNÝ LIST</vt:lpstr>
      <vt:lpstr>00_SHRNUTÍ EXPOZIC</vt:lpstr>
      <vt:lpstr>01_NA POČÁTKU BYL KÁMEN</vt:lpstr>
      <vt:lpstr>02_KŘEHKÁ KRÁSA I</vt:lpstr>
      <vt:lpstr>03_KŘEHKÁ KRÁSA II</vt:lpstr>
      <vt:lpstr>04_KRAJINA NA HOUPAČCE I</vt:lpstr>
      <vt:lpstr>05_KRAJINA NA HOUPAČCE II</vt:lpstr>
      <vt:lpstr>06_UČEBNA</vt:lpstr>
      <vt:lpstr>07_CHODBA</vt:lpstr>
      <vt:lpstr>'01_NA POČÁTKU BYL KÁMEN'!Názvy_tisku</vt:lpstr>
      <vt:lpstr>'02_KŘEHKÁ KRÁSA I'!Názvy_tisku</vt:lpstr>
      <vt:lpstr>'03_KŘEHKÁ KRÁSA II'!Názvy_tisku</vt:lpstr>
      <vt:lpstr>'04_KRAJINA NA HOUPAČCE I'!Názvy_tisku</vt:lpstr>
      <vt:lpstr>'05_KRAJINA NA HOUPAČCE II'!Názvy_tisku</vt:lpstr>
      <vt:lpstr>'06_UČEBNA'!Názvy_tisku</vt:lpstr>
      <vt:lpstr>'07_CHODBA'!Názvy_tisku</vt:lpstr>
      <vt:lpstr>'00_SOUHRNNÝ LIST'!Oblast_tisku</vt:lpstr>
      <vt:lpstr>'05_KRAJINA NA HOUPAČCE II'!Oblast_tisku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bilek</dc:creator>
  <cp:lastModifiedBy>Bena Marek</cp:lastModifiedBy>
  <cp:lastPrinted>2022-02-22T14:12:28Z</cp:lastPrinted>
  <dcterms:created xsi:type="dcterms:W3CDTF">2021-10-23T10:16:40Z</dcterms:created>
  <dcterms:modified xsi:type="dcterms:W3CDTF">2022-02-23T21:06:45Z</dcterms:modified>
  <cp:contentStatus/>
</cp:coreProperties>
</file>