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105" yWindow="65521" windowWidth="11910" windowHeight="9540" activeTab="2"/>
  </bookViews>
  <sheets>
    <sheet name="Rekapitulace" sheetId="1" r:id="rId1"/>
    <sheet name="Způsobilé výdaje" sheetId="2" r:id="rId2"/>
    <sheet name="Nezpůsobilé výdaje" sheetId="3" r:id="rId3"/>
    <sheet name="VRN" sheetId="4" r:id="rId4"/>
  </sheets>
  <definedNames>
    <definedName name="_xlnm.Print_Area" localSheetId="2">'Nezpůsobilé výdaje'!$A$1:$H$34</definedName>
    <definedName name="_xlnm.Print_Area" localSheetId="0">'Rekapitulace'!$A$1:$H$34</definedName>
    <definedName name="_xlnm.Print_Area" localSheetId="3">'VRN'!$A$1:$H$11</definedName>
    <definedName name="_xlnm.Print_Area" localSheetId="1">'Způsobilé výdaje'!$A$1:$H$256</definedName>
    <definedName name="_xlnm.Print_Titles" localSheetId="1">'Způsobilé výdaje'!$1:$2</definedName>
    <definedName name="_xlnm.Print_Titles" localSheetId="2">'Nezpůsobilé výdaje'!$1:$2</definedName>
    <definedName name="_xlnm.Print_Titles" localSheetId="3">'VRN'!$3:$4</definedName>
  </definedNames>
  <calcPr calcId="125725"/>
</workbook>
</file>

<file path=xl/sharedStrings.xml><?xml version="1.0" encoding="utf-8"?>
<sst xmlns="http://schemas.openxmlformats.org/spreadsheetml/2006/main" count="539" uniqueCount="304">
  <si>
    <t>Kraj Vysočina, Žižkova 57, 587 33 Jihlava</t>
  </si>
  <si>
    <t>Projektant:</t>
  </si>
  <si>
    <t>REKAPITULACE  ROZPOČTU</t>
  </si>
  <si>
    <t>Revitalizace parků a zahrad Kraje Vysočina u objektu Gymnázia Havlíčkův Brod</t>
  </si>
  <si>
    <t>Ing. Eva Jonešová, autorizovaný architekt - krajinářská architektura (A.3), č. autorizace ČKA 01 362,
Putimov 75, 393 01 Pelhřimov, IČ: 466 51 322</t>
  </si>
  <si>
    <t>HSV</t>
  </si>
  <si>
    <t>NÁKLADY ROZPOČTU</t>
  </si>
  <si>
    <t>ZPŮSOBILÉ</t>
  </si>
  <si>
    <t>NEZPŮSOBILÉ</t>
  </si>
  <si>
    <t>bez DPH</t>
  </si>
  <si>
    <t>včetně DPH</t>
  </si>
  <si>
    <t>Práce a dodávky HSV</t>
  </si>
  <si>
    <t>stavební práce, zemědělské, lesnické, sadovnické a související služby</t>
  </si>
  <si>
    <t>VRN</t>
  </si>
  <si>
    <t>Vedlejší rozpočtové náklady</t>
  </si>
  <si>
    <t>geodetické práce</t>
  </si>
  <si>
    <t>Přímé realizační výdaje</t>
  </si>
  <si>
    <t>Datum a podpis projektanta</t>
  </si>
  <si>
    <t>Název akce:</t>
  </si>
  <si>
    <t>Objednatel:</t>
  </si>
  <si>
    <t>MEZISOUČET</t>
  </si>
  <si>
    <t>CELEKEM</t>
  </si>
  <si>
    <t>Položka</t>
  </si>
  <si>
    <t>Počet</t>
  </si>
  <si>
    <t>Cena / m.j.</t>
  </si>
  <si>
    <t>Cena celkem</t>
  </si>
  <si>
    <t>Hmot./ m.j.</t>
  </si>
  <si>
    <t>Celkem</t>
  </si>
  <si>
    <t>číslo</t>
  </si>
  <si>
    <t>popis</t>
  </si>
  <si>
    <t>m.j.</t>
  </si>
  <si>
    <t>Kč</t>
  </si>
  <si>
    <t>t</t>
  </si>
  <si>
    <t>VÝSADBA DŘEVIN</t>
  </si>
  <si>
    <t>823-1</t>
  </si>
  <si>
    <t>183 11-1113</t>
  </si>
  <si>
    <t>kus</t>
  </si>
  <si>
    <t>R</t>
  </si>
  <si>
    <t>183 20-5111</t>
  </si>
  <si>
    <r>
      <t>Založení záhonu pro výsadbu rostlin (</t>
    </r>
    <r>
      <rPr>
        <i/>
        <sz val="10"/>
        <rFont val="Arial"/>
        <family val="2"/>
      </rPr>
      <t>všechny záhony pro výsadbu dřevin včetně živých plotů avšak KROMĚ vyvýšeného záhonu pro pokryvné růže v lokalitě 1 - dvůr</t>
    </r>
    <r>
      <rPr>
        <sz val="10"/>
        <rFont val="Arial"/>
        <family val="2"/>
      </rPr>
      <t>)</t>
    </r>
  </si>
  <si>
    <r>
      <t>m</t>
    </r>
    <r>
      <rPr>
        <vertAlign val="superscript"/>
        <sz val="10"/>
        <rFont val="Arial"/>
        <family val="2"/>
      </rPr>
      <t>2</t>
    </r>
  </si>
  <si>
    <t>184 10-2110</t>
  </si>
  <si>
    <r>
      <t>Výsadba dřeviny s balem do předem vyhloubené jamky se zalitím v rovině při prům. balu do 100 mm (</t>
    </r>
    <r>
      <rPr>
        <i/>
        <sz val="10"/>
        <rFont val="Arial"/>
        <family val="2"/>
      </rPr>
      <t>stálezelené rostliny jako půdní kryt</t>
    </r>
    <r>
      <rPr>
        <sz val="10"/>
        <rFont val="Arial"/>
        <family val="2"/>
      </rPr>
      <t>)</t>
    </r>
  </si>
  <si>
    <t>184 10-2112</t>
  </si>
  <si>
    <r>
      <t>Výsadba dřeviny s balem do předem vyhloubené jamky se zalitím v rovině při prům. balu do 300 mm (</t>
    </r>
    <r>
      <rPr>
        <i/>
        <sz val="10"/>
        <rFont val="Arial"/>
        <family val="2"/>
      </rPr>
      <t>keře jehličnaté, keře listnaté stálezelené a opadavé</t>
    </r>
    <r>
      <rPr>
        <sz val="10"/>
        <rFont val="Arial"/>
        <family val="2"/>
      </rPr>
      <t>)</t>
    </r>
  </si>
  <si>
    <t>184 10-2211</t>
  </si>
  <si>
    <r>
      <t>Výsadba keře bez balu do předem vyhloubené jamky se zalitím v rovině výšky do 1 m v terénu (</t>
    </r>
    <r>
      <rPr>
        <i/>
        <sz val="10"/>
        <rFont val="Arial"/>
        <family val="2"/>
      </rPr>
      <t>růže kromě vyvýšeného záhonu v lokalitě 1 - dvůr</t>
    </r>
    <r>
      <rPr>
        <sz val="10"/>
        <rFont val="Arial"/>
        <family val="2"/>
      </rPr>
      <t>)</t>
    </r>
  </si>
  <si>
    <t>184 10-2212</t>
  </si>
  <si>
    <r>
      <t>Výsadba keře bez balu do předem vyhloubené jamky se zalitím v rovině výšky do 1 m do zvýšených záhonů (</t>
    </r>
    <r>
      <rPr>
        <i/>
        <sz val="10"/>
        <rFont val="Arial"/>
        <family val="2"/>
      </rPr>
      <t>růže ve vyvýšeném záhonu v lokalitě 1 - dvůr</t>
    </r>
    <r>
      <rPr>
        <sz val="10"/>
        <rFont val="Arial"/>
        <family val="2"/>
      </rPr>
      <t>)</t>
    </r>
  </si>
  <si>
    <t>184 80-2111</t>
  </si>
  <si>
    <r>
      <t>Chemické odplevelení půdy před založením kultury (</t>
    </r>
    <r>
      <rPr>
        <i/>
        <sz val="10"/>
        <rFont val="Arial"/>
        <family val="2"/>
      </rPr>
      <t>záhony pro výsadbu rostlin, resp. keřů</t>
    </r>
    <r>
      <rPr>
        <sz val="10"/>
        <rFont val="Arial"/>
        <family val="2"/>
      </rPr>
      <t>) v rovině, postřikem na široko</t>
    </r>
  </si>
  <si>
    <r>
      <t>m</t>
    </r>
    <r>
      <rPr>
        <vertAlign val="superscript"/>
        <sz val="10"/>
        <rFont val="Arial"/>
        <family val="2"/>
      </rPr>
      <t>3</t>
    </r>
  </si>
  <si>
    <r>
      <t>Položení mulčovací textilie z juty a slámy v rovině</t>
    </r>
    <r>
      <rPr>
        <i/>
        <sz val="10"/>
        <rFont val="Arial"/>
        <family val="2"/>
      </rPr>
      <t xml:space="preserve"> v rovině včetně dodání materiálu (všechny záhony)</t>
    </r>
  </si>
  <si>
    <t>Montáž výsadba dřevin mezisoučet</t>
  </si>
  <si>
    <t>Specifikace rostliny</t>
  </si>
  <si>
    <t>mnohokvěté a pokryvné růže</t>
  </si>
  <si>
    <t>Rosa KORDES Aprikola®, prostokořenné sazenice, alespoň 3 dobře vyzrálé výhony délky 40 cm</t>
  </si>
  <si>
    <t>ks</t>
  </si>
  <si>
    <t>Rosa KORDES Bad Wőrishofen®/Pink Emely, prostokořenné sazenice, alespoň 3 dobře vyzrálé výhony délky 40 cm</t>
  </si>
  <si>
    <t>Rosa KORDES Black Forest Rose®, prostokořenné sazenice, alespoň 3 dobře vyzrálé výhony délky 40 cm</t>
  </si>
  <si>
    <t>Rosa KORDES Gărtnerfreude®, prostokořenné sazenice, alespoň 3 dobře vyzrálé výhony délky 40 cm</t>
  </si>
  <si>
    <t>Rosa KORDES Innocencia ®, prostokořenné sazenice, alespoň 3 dobře vyzrálé výhony délky 40 cm</t>
  </si>
  <si>
    <t>Rosa KORDES Milano®, prostokořenné sazenice, alespoň 3 dobře vyzrálé výhony délky 40 cm</t>
  </si>
  <si>
    <t>Rosa KORDES Planten un Blomen®, prostokořenné sazenice, alespoň 3 dobře vyzrálé výhony délky 40 cm</t>
  </si>
  <si>
    <t>Rosa KORDES Solero®, prostokořenné sazenice, alespoň 3 dobře vyzrálé výhony délky 40 cm</t>
  </si>
  <si>
    <t>stálezelené a jehličnaté keře na živý plot</t>
  </si>
  <si>
    <t xml:space="preserve">Taxus baccata – tis červený, v 20-30, ko 2,5 l  </t>
  </si>
  <si>
    <t>stálezelené rostliny jako půdní kryt</t>
  </si>
  <si>
    <t xml:space="preserve">Hedera helix – břečťan popínavý, kontejner 9x9x10 cm </t>
  </si>
  <si>
    <t xml:space="preserve">Vinca minor – barvínek menší, kontejner 8x8x9 cm </t>
  </si>
  <si>
    <t>jehličnaté keře</t>
  </si>
  <si>
    <t xml:space="preserve">Picea glauca ´Conica´ - smrk sivý, v 20-30, ko 2,5 l  </t>
  </si>
  <si>
    <t xml:space="preserve">Pinus mugo ´Mops´ - borovice kleč, v 20-30, bal  </t>
  </si>
  <si>
    <t xml:space="preserve">Taxus baccata ´Compacta´- tis červený, v 20-30, ko 2,5 l </t>
  </si>
  <si>
    <t xml:space="preserve">Taxus baccata ´Fastigiata Robusta´- tis červený, v 40-60, bal  </t>
  </si>
  <si>
    <t xml:space="preserve">Taxus x media ´Kelseyi´- tis prostřední, v 40-60, bal  </t>
  </si>
  <si>
    <t xml:space="preserve">Taxus baccata ´Repandens´- tis červený, v 30–40, ko2l   </t>
  </si>
  <si>
    <t>listnaté keře stálezelené</t>
  </si>
  <si>
    <t xml:space="preserve">Buxus sempervirens ´Suffruticosa´- zimostráz obecný, v 30–40 cm, bal </t>
  </si>
  <si>
    <t xml:space="preserve">Pyracanta coccinea ´Orange Glow´ - hlohyně šarlatová, v 30–40, ko1,5l </t>
  </si>
  <si>
    <t xml:space="preserve">Pyracanta coccinea ´Red Column´ - hlohyně šarlatová, v 30–40, ko1,5l </t>
  </si>
  <si>
    <t xml:space="preserve">Viburnum ´Pragense´ - kalina pražská, v 60-80, bal  </t>
  </si>
  <si>
    <t>listanté keře opadavé</t>
  </si>
  <si>
    <t xml:space="preserve">Azalka japonská ´Otava´, v 20–30, ko3l </t>
  </si>
  <si>
    <t xml:space="preserve">Azalka japonská ´Rosinetta´, v 20–30, ko3l </t>
  </si>
  <si>
    <t xml:space="preserve">Azalka japonská ´Schneesturm´, v 20–30, ko3l </t>
  </si>
  <si>
    <t xml:space="preserve">Azalka velkokvětá Knap Hill ´Orangeade´, v 30–40, ko3l  </t>
  </si>
  <si>
    <t xml:space="preserve">Cotoneaster dielsianus - skalník Dielsův, v 40–60, ko2l </t>
  </si>
  <si>
    <t xml:space="preserve">Hydrangea arbor. ´Strong Annabelle´ (Incrediball)® - hortenzie stromečkovitá, v 30–50, ko5l </t>
  </si>
  <si>
    <t xml:space="preserve">Hypericum ´Hidcote´ - třezalka rozkladitá, v 30–40, ko1l   </t>
  </si>
  <si>
    <t xml:space="preserve">Chaenomeles japonica - kdoulovec japonský, v 40–60, ko2l </t>
  </si>
  <si>
    <t xml:space="preserve">Ribes alpinum ´Compactum´- meruzalka alpská, v 20-30, ko1,5l </t>
  </si>
  <si>
    <t xml:space="preserve">Ribes alpinum ´Pumilum´- meruz.alpská, v 20-30, ko1,5l </t>
  </si>
  <si>
    <t xml:space="preserve">Syringa meyeri 'Palibin' - šeřík Meyerův, v 40-60, bal  </t>
  </si>
  <si>
    <t xml:space="preserve">Syringa microphylla ´Superba´ - šeřík malolistý, v 40-60, bal  </t>
  </si>
  <si>
    <t>Mezisoučet specifikace rostliny</t>
  </si>
  <si>
    <t>Specifikace rostliny celkem = mezisoučet x 1,03 (ztratné) x 1,25 (PPN)</t>
  </si>
  <si>
    <t>Specifikace výsadba dřevin ostatní</t>
  </si>
  <si>
    <t>Herbicidy - totální bal. 1 l, dávkování 5l/ha</t>
  </si>
  <si>
    <t>litr</t>
  </si>
  <si>
    <t>Rašelina pro azalky (směs rašeliny a písku 1:1)</t>
  </si>
  <si>
    <t xml:space="preserve">Mezisoučet specifikace ostatní </t>
  </si>
  <si>
    <t>Specifikace ostatní celkem = mezisoučet x 1,02 (ztratné) x 1,25 (PPN)</t>
  </si>
  <si>
    <t>VÝSADBA DŘEVIN mezisoučet</t>
  </si>
  <si>
    <r>
      <rPr>
        <b/>
        <i/>
        <sz val="12"/>
        <rFont val="Arial CE"/>
        <family val="2"/>
      </rPr>
      <t>NÁSLEDNÁ PÉČE PO DOBU 3 LET</t>
    </r>
    <r>
      <rPr>
        <i/>
        <sz val="12"/>
        <rFont val="Arial CE"/>
        <family val="2"/>
      </rPr>
      <t xml:space="preserve"> </t>
    </r>
    <r>
      <rPr>
        <i/>
        <sz val="10"/>
        <rFont val="Arial CE"/>
        <family val="2"/>
      </rPr>
      <t>(dokončovací péče od provedení výsadby do okamžiku předání díla a jeho převzetí zadavatelem + rozvojová péče od okamžiku opřevzetí díla zadavatelem do dosažení plné funkčnosti stromu - zde pouze do 3 let po výsadbě (patří sem zálivka, výchovný řez, kontrola a odstranění kotvících prvků, hnojení, kypření, odplevelování, ochrana proti chorobám a škůdcům, ochrana před vlivem mrazu, doplňování mulče) - nebo keřů (zálivka, odplevelování, kypření)</t>
    </r>
  </si>
  <si>
    <t>184 85-1411</t>
  </si>
  <si>
    <r>
      <t xml:space="preserve">Zpětný řez keřů po výsadbě netrnitých výšky do 0,5 m </t>
    </r>
    <r>
      <rPr>
        <i/>
        <sz val="10"/>
        <rFont val="Arial"/>
        <family val="2"/>
      </rPr>
      <t>(živé ploty, listnaté keře opadavé i stálezelené kromě růží a stálezelených rostlin jako půdní kryt)</t>
    </r>
  </si>
  <si>
    <t>184 80-6186</t>
  </si>
  <si>
    <r>
      <t xml:space="preserve">Řez růží mnohokvětých </t>
    </r>
    <r>
      <rPr>
        <i/>
        <sz val="10"/>
        <rFont val="Arial"/>
        <family val="2"/>
      </rPr>
      <t>(mnohokvěté a pokryvné růže 2. rok po výsadbě)</t>
    </r>
  </si>
  <si>
    <r>
      <t xml:space="preserve">Řez růží mnohokvětých </t>
    </r>
    <r>
      <rPr>
        <i/>
        <sz val="10"/>
        <rFont val="Arial"/>
        <family val="2"/>
      </rPr>
      <t>(mnohokvěté a pokryvné růže 3. rok po výsadbě)</t>
    </r>
  </si>
  <si>
    <r>
      <t xml:space="preserve">Zpětný řez keřů po výsadbě netrnitých výšky do 0,5 m </t>
    </r>
    <r>
      <rPr>
        <i/>
        <sz val="10"/>
        <rFont val="Arial"/>
        <family val="2"/>
      </rPr>
      <t>(stálezelené rostliny jako půdní kryt)</t>
    </r>
  </si>
  <si>
    <t>184 80-6151</t>
  </si>
  <si>
    <r>
      <t xml:space="preserve">Řez průklestem keřů netrnitých o prům. koruny do 1,5 m </t>
    </r>
    <r>
      <rPr>
        <i/>
        <sz val="10"/>
        <rFont val="Arial"/>
        <family val="2"/>
      </rPr>
      <t xml:space="preserve">(keře listnaté opadavé a listanté stálezelené </t>
    </r>
    <r>
      <rPr>
        <b/>
        <i/>
        <sz val="10"/>
        <rFont val="Arial"/>
        <family val="2"/>
      </rPr>
      <t>kromě kaliny pražské</t>
    </r>
    <r>
      <rPr>
        <i/>
        <sz val="10"/>
        <rFont val="Arial"/>
        <family val="2"/>
      </rPr>
      <t xml:space="preserve"> 2. rok po výsadbě)</t>
    </r>
  </si>
  <si>
    <r>
      <t xml:space="preserve">Řez průklestem keřů netrnitých o prům. koruny do 1,5 m </t>
    </r>
    <r>
      <rPr>
        <i/>
        <sz val="10"/>
        <rFont val="Arial"/>
        <family val="2"/>
      </rPr>
      <t xml:space="preserve">(keře listnaté opadavé a listanté stálezelené </t>
    </r>
    <r>
      <rPr>
        <b/>
        <i/>
        <sz val="10"/>
        <rFont val="Arial"/>
        <family val="2"/>
      </rPr>
      <t>kromě kaliny pražské</t>
    </r>
    <r>
      <rPr>
        <i/>
        <sz val="10"/>
        <rFont val="Arial"/>
        <family val="2"/>
      </rPr>
      <t xml:space="preserve"> 3. rok po výsadbě)</t>
    </r>
  </si>
  <si>
    <r>
      <t xml:space="preserve">Řez průklestem keřů netrnitých </t>
    </r>
    <r>
      <rPr>
        <i/>
        <sz val="10"/>
        <rFont val="Arial"/>
        <family val="2"/>
      </rPr>
      <t>(keře stálezelené jako půdní kryt 2. rok po výsadbě)</t>
    </r>
  </si>
  <si>
    <r>
      <t xml:space="preserve">Řez průklestem keřů netrnitých </t>
    </r>
    <r>
      <rPr>
        <i/>
        <sz val="10"/>
        <rFont val="Arial"/>
        <family val="2"/>
      </rPr>
      <t>(keře stálezelené jako půdní kryt 3. rok po výsadbě)</t>
    </r>
  </si>
  <si>
    <t>184 80-3111</t>
  </si>
  <si>
    <r>
      <t xml:space="preserve">Tvarování živých plotů přímých v. do 0,8m,  š. do 0,8 m (v předjaří </t>
    </r>
    <r>
      <rPr>
        <i/>
        <sz val="10"/>
        <rFont val="Arial"/>
        <family val="2"/>
      </rPr>
      <t>2. rok po výsadbě počítány u každého živého plotu 3 plochy ke tvarování o výšce, respektive šířce 0,4m, celková délka plotů 37 m</t>
    </r>
    <r>
      <rPr>
        <sz val="10"/>
        <rFont val="Arial"/>
        <family val="2"/>
      </rPr>
      <t>)</t>
    </r>
  </si>
  <si>
    <t>185 80-4214</t>
  </si>
  <si>
    <t>185 80-4311</t>
  </si>
  <si>
    <t>NÁSLEDNÁ PÉČE mezisoučet</t>
  </si>
  <si>
    <t>OŠETŘENÍ STÁVAJÍCÍCH DŘEVIN</t>
  </si>
  <si>
    <t>OŠETŘENÍ STÁVAJÍCÍCH DŘEVIN mezisoučet</t>
  </si>
  <si>
    <r>
      <rPr>
        <b/>
        <i/>
        <sz val="12"/>
        <rFont val="Arial CE"/>
        <family val="2"/>
      </rPr>
      <t>KÁCENÍ DŘEVIN</t>
    </r>
    <r>
      <rPr>
        <i/>
        <sz val="12"/>
        <rFont val="Arial CE"/>
        <family val="2"/>
      </rPr>
      <t xml:space="preserve"> </t>
    </r>
    <r>
      <rPr>
        <i/>
        <sz val="10"/>
        <rFont val="Arial CE"/>
        <family val="2"/>
      </rPr>
      <t>(způsobilé výdaje: odstranění těch dřevin, v jejichž okapové linii se budou vysazovat nové dřeviny, a dřevin, které souvisí s uvolněním ponechávaných stromů)</t>
    </r>
  </si>
  <si>
    <t>112 15-1112</t>
  </si>
  <si>
    <t>Pokácení stromu směrové v celku s odřez. kmene a odvětvením, pr. kmene do 300 mm (strom inv. č. 1 a 2)</t>
  </si>
  <si>
    <t>KÁCENÍ DŘEVIN mezisoučet</t>
  </si>
  <si>
    <t>ZALOŽENÍ PLOCH TRÁVNÍKU</t>
  </si>
  <si>
    <t>181 41-1131</t>
  </si>
  <si>
    <t>183 40--3114</t>
  </si>
  <si>
    <r>
      <t xml:space="preserve">Obdělání půdy kultivátorováním v rovině </t>
    </r>
    <r>
      <rPr>
        <i/>
        <sz val="10"/>
        <rFont val="Arial"/>
        <family val="2"/>
      </rPr>
      <t>(před výsevem trávníku)</t>
    </r>
  </si>
  <si>
    <t>183 40--3152</t>
  </si>
  <si>
    <r>
      <t xml:space="preserve">Obdělání půdy vláčením v rovině </t>
    </r>
    <r>
      <rPr>
        <i/>
        <sz val="10"/>
        <rFont val="Arial"/>
        <family val="2"/>
      </rPr>
      <t>(před výsevem trávníku)</t>
    </r>
  </si>
  <si>
    <t>183 40--3153</t>
  </si>
  <si>
    <r>
      <t xml:space="preserve">Obdělání půdy hrabáním v rovině </t>
    </r>
    <r>
      <rPr>
        <i/>
        <sz val="10"/>
        <rFont val="Arial"/>
        <family val="2"/>
      </rPr>
      <t>(před výsevem hrabání podruhé)</t>
    </r>
  </si>
  <si>
    <r>
      <t>Obdělání půdy hrabáním v rovině (</t>
    </r>
    <r>
      <rPr>
        <i/>
        <sz val="10"/>
        <rFont val="Arial"/>
        <family val="2"/>
      </rPr>
      <t>po výsevu pro zapravení osiva podruhé)</t>
    </r>
  </si>
  <si>
    <t>Montáž založení ploch trávníku mezisoučet</t>
  </si>
  <si>
    <t>Specifikace založení ploch trávníku ostatní</t>
  </si>
  <si>
    <r>
      <t xml:space="preserve">Travní směs parková </t>
    </r>
    <r>
      <rPr>
        <i/>
        <sz val="10"/>
        <rFont val="Arial"/>
        <family val="2"/>
      </rPr>
      <t>(výsevek 15g/m2)</t>
    </r>
  </si>
  <si>
    <t>kg</t>
  </si>
  <si>
    <t>Mezisoučet specifikace založení trávníku</t>
  </si>
  <si>
    <t>Specifikace založení trávníku celkem = mezisoučet x 1,03 (ztratné) x 1,25 (PPN)</t>
  </si>
  <si>
    <t>ZALOŽENÍ PLOCH TRÁVNÍKU mezisoučet</t>
  </si>
  <si>
    <t>TRVALKOVÉ ZÁHONY (VÝSADBA CIBULOVIN PŘED ZALOŽENÍM TRÁVNÍKU)</t>
  </si>
  <si>
    <t>183 21-1313</t>
  </si>
  <si>
    <t>Výsadba cibulí květin do připravené půdy se zalitím (vysází se do půdy připravené pro výsev trávníku těsně před jeho výsevem - hloubka výsadby: 8-10 cm, termín: září)</t>
  </si>
  <si>
    <r>
      <t xml:space="preserve">Obdělání půdy hrabáním v rovině </t>
    </r>
    <r>
      <rPr>
        <i/>
        <sz val="10"/>
        <rFont val="Arial"/>
        <family val="2"/>
      </rPr>
      <t>(po výsadbě cibulovin)</t>
    </r>
  </si>
  <si>
    <r>
      <t>Obdělání půdy hrabáním v rovině (</t>
    </r>
    <r>
      <rPr>
        <i/>
        <sz val="10"/>
        <rFont val="Arial"/>
        <family val="2"/>
      </rPr>
      <t>po výsadbě cibulovin podruhé)</t>
    </r>
  </si>
  <si>
    <t>Montáž výsadba cibulovin mezisoučet</t>
  </si>
  <si>
    <t>Specifikace výsadba cibulovin rostliny</t>
  </si>
  <si>
    <t>Cibule dle specifikace v textové části</t>
  </si>
  <si>
    <t xml:space="preserve">Mezisoučet specifikace rostliny </t>
  </si>
  <si>
    <t>TRVALKOVÉ ZÁHONY (VÝSADBA CIBULOVIN) mezisoučet</t>
  </si>
  <si>
    <r>
      <t>POŘÍZENÍ A INSTALACE MOBILIÁŘE</t>
    </r>
    <r>
      <rPr>
        <i/>
        <sz val="12"/>
        <rFont val="Arial CE"/>
        <family val="2"/>
      </rPr>
      <t xml:space="preserve"> </t>
    </r>
    <r>
      <rPr>
        <i/>
        <sz val="10"/>
        <rFont val="Arial CE"/>
        <family val="2"/>
      </rPr>
      <t>(do způsobilých výdajů je zařazena pouze část specifikovaná v rekapitulaci na konci rozpočtu!)</t>
    </r>
  </si>
  <si>
    <t>936 10-4213</t>
  </si>
  <si>
    <t>Montáž odpadkového koše přichycením kotevními šrouby</t>
  </si>
  <si>
    <t>936 17-4312</t>
  </si>
  <si>
    <t>Montáž stojanu na kola přichycením kotevními šrouby</t>
  </si>
  <si>
    <t xml:space="preserve">kus </t>
  </si>
  <si>
    <t>Montáž mobiliář mezisoučet</t>
  </si>
  <si>
    <t xml:space="preserve">Specifikace mobiliář ostatní  </t>
  </si>
  <si>
    <t>skládací židle zahradní, kovová konstrukce - černá barva, sedák a opěradlo z latí - akátové dřevo</t>
  </si>
  <si>
    <t xml:space="preserve">venkovní odpadkový koš  se stříškou, s vnitřní vyjímatelnou nádobou ze zinkovaného plechu, konstrukce z ocelových profilů - černá barva, boční výplň z impregnovaného dřeva profilu 3,5x2,5 cm, konstrukce připravena pro kotvení k podlaze, rozměry: půdorys 40x40cm, výška 80 cm + stříška
</t>
  </si>
  <si>
    <t>stojan na kola kovový oboustranný, černá barva, celkem 12 kol</t>
  </si>
  <si>
    <t xml:space="preserve">Mezisoučet  specifikace ostatní </t>
  </si>
  <si>
    <t>POŘÍZENÍ A INSTALACE MOBILIÁŘE mezisoučet</t>
  </si>
  <si>
    <t>998 23-1311</t>
  </si>
  <si>
    <t>800-1</t>
  </si>
  <si>
    <t>181 95-1102</t>
  </si>
  <si>
    <t>822-1</t>
  </si>
  <si>
    <t>564 66-1111</t>
  </si>
  <si>
    <r>
      <t xml:space="preserve">Podklad z kameniva hrubého drceného vel. 63-125 mm, tl. 200mm </t>
    </r>
    <r>
      <rPr>
        <i/>
        <sz val="10"/>
        <rFont val="Arial"/>
        <family val="2"/>
      </rPr>
      <t>(pro štěrkový trávník)</t>
    </r>
  </si>
  <si>
    <t>919 72-6122</t>
  </si>
  <si>
    <t>Separační filtrační geotextile měrná hmotnost do 300 g/m2 včetně dodání a položení vč. přesahů</t>
  </si>
  <si>
    <r>
      <t xml:space="preserve">Založení trávníku výsevem na půdě předem připravené, plochy do 1000 m2 parkového výsevem včetně utažení, v rovině do 1:5  </t>
    </r>
    <r>
      <rPr>
        <i/>
        <sz val="10"/>
        <rFont val="Arial"/>
        <family val="2"/>
      </rPr>
      <t>(štěrkový trávník)</t>
    </r>
  </si>
  <si>
    <r>
      <t xml:space="preserve">Travní směs speciální pro štěrkové trávníky (složení v textové části) - </t>
    </r>
    <r>
      <rPr>
        <i/>
        <sz val="10"/>
        <rFont val="Arial"/>
        <family val="2"/>
      </rPr>
      <t>výsevek 25g/m2)</t>
    </r>
  </si>
  <si>
    <t>Specifikace ostatní celkem = mezisoučet x 1,03 (ztratné) x 1,25 (PPN)</t>
  </si>
  <si>
    <t>ZALOŽENÍ ŠTĚRKOVÉHO TRÁVNÍKU mezisoučet</t>
  </si>
  <si>
    <t>998 22-9111</t>
  </si>
  <si>
    <t>Přesun hmot ruční  pro komunikace s krytem z kameniva, dopr. vzdálenost do 50 m</t>
  </si>
  <si>
    <t>REKAPITULACE ZPŮSOBILÉ VÝDAJE</t>
  </si>
  <si>
    <t>NÁSLEDNÁ PÉČE PO DOBU 3 LET</t>
  </si>
  <si>
    <t>KÁCENÍ DŘEVIN</t>
  </si>
  <si>
    <t>Celkem bez DPH</t>
  </si>
  <si>
    <t>DPH 21%</t>
  </si>
  <si>
    <t>Celkem s DPH</t>
  </si>
  <si>
    <r>
      <rPr>
        <b/>
        <i/>
        <sz val="12"/>
        <rFont val="Arial CE"/>
        <family val="2"/>
      </rPr>
      <t>KÁCENÍ DŘEVIN</t>
    </r>
    <r>
      <rPr>
        <i/>
        <sz val="12"/>
        <rFont val="Arial CE"/>
        <family val="2"/>
      </rPr>
      <t xml:space="preserve"> </t>
    </r>
    <r>
      <rPr>
        <i/>
        <sz val="10"/>
        <rFont val="Arial CE"/>
        <family val="2"/>
      </rPr>
      <t xml:space="preserve">(přemístění kmenů a větví a odstranění pařezů) </t>
    </r>
  </si>
  <si>
    <t>112 25-1211</t>
  </si>
  <si>
    <t>174 11-1111</t>
  </si>
  <si>
    <r>
      <t>m</t>
    </r>
    <r>
      <rPr>
        <vertAlign val="superscript"/>
        <sz val="10"/>
        <rFont val="Arial"/>
        <family val="2"/>
      </rPr>
      <t>3</t>
    </r>
  </si>
  <si>
    <t>162 30-1415</t>
  </si>
  <si>
    <t>Montáž kácení dřevin mezisoučet</t>
  </si>
  <si>
    <t>Přesun hmot  pro sadovnické a krajinářské úpravy, dopr. vzdálenost do 5000 m</t>
  </si>
  <si>
    <t>132 21-2101</t>
  </si>
  <si>
    <r>
      <t>Hloubení rýh do š. 600 mm ručním nebo pneu nářadím v horninách tř. 3 soudržných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(základ obrubníku u open air učebny a podél tělocvičny - lože hloubka celkem 30 cm, šířka 30 cm)</t>
    </r>
  </si>
  <si>
    <t>916 23-1213</t>
  </si>
  <si>
    <t xml:space="preserve">Osazení chodníkového obrubníku betonového stojatého s boční opěrou z betonu do lože z betonu prostého </t>
  </si>
  <si>
    <t>m</t>
  </si>
  <si>
    <t>Montáž instalace betonových obrubníků mezisoučet</t>
  </si>
  <si>
    <t xml:space="preserve">Specifikace instalace betonových obrubníků ostatní  </t>
  </si>
  <si>
    <t>Mezisoučet specifikace instalace betonových obrubníků</t>
  </si>
  <si>
    <t>998 22-3011</t>
  </si>
  <si>
    <t>Přesun hmot a suti pro komunikace s krytem dlážděným, vod. dopr. vzdálenost do 200 m</t>
  </si>
  <si>
    <t>stůl zahradní, kovová konstrukce - černá barva, deska akátové dřevo - kruhová deska z latí, průměr 1,2 m</t>
  </si>
  <si>
    <t>slunečník zahradní samostatně stojící, kovová konstrukce černé barvy s podstavcem pro zatížení betonovými dlaždicemi, stahovací a skládací, průměr 3 m, včetně dlaždic</t>
  </si>
  <si>
    <t>REKAPITULACE NEZPŮSOBILÉ VÝDAJE</t>
  </si>
  <si>
    <t>Geodetické vytyčení hranice pozemku (v místě, kde není zřejmá v terénu -  rozmezí p.č. 211/4, 2259/204, 3996 a sousedních vlastníků)</t>
  </si>
  <si>
    <t xml:space="preserve">100 bm </t>
  </si>
  <si>
    <r>
      <t xml:space="preserve">Úprava pláně vyrovnáním výškových rozdílů v hornině 1-4 se zhutněním </t>
    </r>
    <r>
      <rPr>
        <i/>
        <sz val="10"/>
        <rFont val="Arial"/>
        <family val="2"/>
      </rPr>
      <t>(podl. štěrkového trávníku)</t>
    </r>
  </si>
  <si>
    <t>ZALOŽENÍ TRÁVNÍKU SE ŠTĚRKOVÝM PODLOŽÍM - ŠTĚRKOVÝ TRÁVNÍK</t>
  </si>
  <si>
    <t>Montáž založení trávníku se štěrkovým podložím mezisoučet</t>
  </si>
  <si>
    <t>Specifikace založení trávníku se štěrkovým podložím ostatní</t>
  </si>
  <si>
    <r>
      <t xml:space="preserve">Založení trávníku výsevem na půdě předem připravené, plochy do 1000 m2 parkového výsevem včetně utažení, v rovině do 1:5  </t>
    </r>
    <r>
      <rPr>
        <i/>
        <sz val="10"/>
        <rFont val="Arial"/>
        <family val="2"/>
      </rPr>
      <t>(ostatní trávník mimo štěrkový trávník)</t>
    </r>
  </si>
  <si>
    <t>listanté stromy</t>
  </si>
  <si>
    <t>35 až 39</t>
  </si>
  <si>
    <t xml:space="preserve">Tilia cordata 'Rancho' – lípa srdčitá (malokorunná), OK 14-16, prostokořenná </t>
  </si>
  <si>
    <t>181 30-1101</t>
  </si>
  <si>
    <t>121 10-1101</t>
  </si>
  <si>
    <t>121 10-1103</t>
  </si>
  <si>
    <r>
      <t xml:space="preserve">Sejmutí ornice s vodorovným přemístěním na vzdálennost do 50 m, se složením </t>
    </r>
    <r>
      <rPr>
        <i/>
        <sz val="10"/>
        <rFont val="Arial"/>
        <family val="2"/>
      </rPr>
      <t>(sejmutí z lože štěrkového trávníku, hloubka: 30cm; přemístění po lokalitě 1 a 2)</t>
    </r>
  </si>
  <si>
    <r>
      <t xml:space="preserve">Sejmutí ornice s vodorovným přemístěním na vzdálennost do 250 m, se složením </t>
    </r>
    <r>
      <rPr>
        <i/>
        <sz val="10"/>
        <rFont val="Arial"/>
        <family val="2"/>
      </rPr>
      <t>(lože štěrkového trávníku, hloubka: 30cm; přemístění na lokalitu 3)</t>
    </r>
  </si>
  <si>
    <t>183 10-1314</t>
  </si>
  <si>
    <t>183 11-1313</t>
  </si>
  <si>
    <t xml:space="preserve">Ligustrum vulgare ´Atrovirens´ - ptačí zob obecný, v 30–40, ko2l   </t>
  </si>
  <si>
    <r>
      <t xml:space="preserve">Výměna půdy na 100 % za Zahradnickou zeminu tříděnou </t>
    </r>
    <r>
      <rPr>
        <i/>
        <sz val="10"/>
        <rFont val="Arial"/>
        <family val="2"/>
      </rPr>
      <t>(v lokalitě 2 v ploše pro břečťan u tělocvičny, 1,7 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), včetně vykopávky, naložení, odvozu a uložení odpadu a včetně skládkovného</t>
    </r>
  </si>
  <si>
    <r>
      <t>Zahradnická zemina tříděná (</t>
    </r>
    <r>
      <rPr>
        <i/>
        <sz val="10"/>
        <rFont val="Arial"/>
        <family val="2"/>
      </rPr>
      <t>pro výměnu v jamkách pro živý plot v lokalitě 1 a 3; v lokalitě 2 - v ploše pro břečťan u tělocvičny)</t>
    </r>
  </si>
  <si>
    <t>Poznámka - některá specifikace je započtena přímo v R položkách (mulčovací textilie)</t>
  </si>
  <si>
    <t>TERÉNNÍ ÚPRAVY - INSTALACE  BETONOVÝCH OBRUBNÍKŮ</t>
  </si>
  <si>
    <t>TERÉNNÍ ÚPRAVY - INSTALACE  BETONOVÝCH OBRUBNÍKŮ mezisoučet</t>
  </si>
  <si>
    <t>183 10-1115</t>
  </si>
  <si>
    <r>
      <t>Hloubení jamek pro vysazování rostlin v zemině tř. 1až4 s výměnou půdy na 100% za směs rašeliny a písku v poměru 1:1, v rovině, objemu do 0,125 m3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(azalky)</t>
    </r>
  </si>
  <si>
    <r>
      <t>Hloubení jamek pro vysazování rostlin v zemině tř. 1až4 bez výměny půdy, v rovině, objemu do 0,01 m3</t>
    </r>
    <r>
      <rPr>
        <i/>
        <sz val="10"/>
        <rFont val="Arial"/>
        <family val="2"/>
      </rPr>
      <t xml:space="preserve"> (stálezelené rostliny jako půdní kryt)</t>
    </r>
  </si>
  <si>
    <t>184 20-1111</t>
  </si>
  <si>
    <t>184 21-5132</t>
  </si>
  <si>
    <t>184 21-5412</t>
  </si>
  <si>
    <t>Ochrana kmene listnatých stromů rákosovou rohoží, cena vč. materiálu</t>
  </si>
  <si>
    <t>185 85-1121</t>
  </si>
  <si>
    <t>Dodávka vody pro zálivku</t>
  </si>
  <si>
    <t xml:space="preserve">Kůl ke stromu impregnovaný průměr 60mm, délka 2,5 m (dřevěný oloupaný kůl, frézovaný s fazetou, včetně úvazků, příček ad. pomocného materiálu) </t>
  </si>
  <si>
    <t>184 85-2312</t>
  </si>
  <si>
    <t>184 21-5172</t>
  </si>
  <si>
    <r>
      <t xml:space="preserve">Řez růží mnohokvětých </t>
    </r>
    <r>
      <rPr>
        <i/>
        <sz val="10"/>
        <rFont val="Arial"/>
        <family val="2"/>
      </rPr>
      <t>(mnohokvěté a pokryvné růže 1. rok po výsadbě)</t>
    </r>
  </si>
  <si>
    <r>
      <t xml:space="preserve">Tvarování živých plotů přímých v. do 0,8m,  š. do 0,8 m (v létě </t>
    </r>
    <r>
      <rPr>
        <i/>
        <sz val="10"/>
        <rFont val="Arial"/>
        <family val="2"/>
      </rPr>
      <t>2. rok po výsadbě počítány u každého živého plotu 3 x tvarování o výšce, respektive šířce 0,4m, celková délka plotů 34,5 m</t>
    </r>
    <r>
      <rPr>
        <sz val="10"/>
        <rFont val="Arial"/>
        <family val="2"/>
      </rPr>
      <t>)</t>
    </r>
  </si>
  <si>
    <r>
      <t xml:space="preserve">Tvarování živých plotů přímých v. do 0,8m,  š. do 0,8 m (v předjaří </t>
    </r>
    <r>
      <rPr>
        <i/>
        <sz val="10"/>
        <rFont val="Arial"/>
        <family val="2"/>
      </rPr>
      <t>3. rok po výsadbě počítány u každého živého plotu 3 x tvarování o výšce, respektive šířce 0,5 m, celková délka plotů 34,5 m</t>
    </r>
    <r>
      <rPr>
        <sz val="10"/>
        <rFont val="Arial"/>
        <family val="2"/>
      </rPr>
      <t>)</t>
    </r>
  </si>
  <si>
    <r>
      <t xml:space="preserve">Tvarování živých plotů přímých v. do 0,8m,  š. do 0,8 m (v létě </t>
    </r>
    <r>
      <rPr>
        <i/>
        <sz val="10"/>
        <rFont val="Arial"/>
        <family val="2"/>
      </rPr>
      <t>3. rok po výsadbě počítány u každého živého plotu 3 x tvarování o výšce, respektive šířce 0,5 m, celková délka plotů 34,5 m</t>
    </r>
    <r>
      <rPr>
        <sz val="10"/>
        <rFont val="Arial"/>
        <family val="2"/>
      </rPr>
      <t>)</t>
    </r>
  </si>
  <si>
    <t>185 80-4312</t>
  </si>
  <si>
    <t>185 80-4319</t>
  </si>
  <si>
    <t xml:space="preserve">Úpravy stávajících výsadeb ve zvýšením záhoně (v lokalitě 1) - tzn. vyzvednutí a uchování rostlin (jalovce), následně jejich znovuvysázení s hloubením jamky a zalitím </t>
  </si>
  <si>
    <t>183 11-1114</t>
  </si>
  <si>
    <t>184 91-1421</t>
  </si>
  <si>
    <t>111 21-2351</t>
  </si>
  <si>
    <t xml:space="preserve">Tvarování solitérních keřů jehličnatých a listnatých stálezelených výšky nad 1 m (3 tisy a 1 hlohyně v lokalitě 2 - u hlavního vchodu), včetně odstranění odpadu (odvoz, uložení a skládkovné) </t>
  </si>
  <si>
    <t>162 30-1405</t>
  </si>
  <si>
    <t>171 20-1201</t>
  </si>
  <si>
    <t>171 20-1211</t>
  </si>
  <si>
    <t>Poplatek za uložení na kompostárně/skládce</t>
  </si>
  <si>
    <t>Poznámka - některá specifikace je započtena přímo v R položkách (geotextilie; vegetační vrstva - směs)</t>
  </si>
  <si>
    <t>936 00-1001</t>
  </si>
  <si>
    <t>966 07-1711</t>
  </si>
  <si>
    <t>Bourání plotových sloupků ocelových, výšky do 2,5 m, zabetonovaných</t>
  </si>
  <si>
    <t>566 90-1132</t>
  </si>
  <si>
    <t>Betonový obrubník 250x100x1000, barva přírodní</t>
  </si>
  <si>
    <t>Specifikace instalace betonových obrubníků ost. celk. = mezisoučet x 1,02 (ztratné/prořez) x 1,25 (PPN)</t>
  </si>
  <si>
    <t>167 10-1101</t>
  </si>
  <si>
    <t>Uložení sypaniny na skládky</t>
  </si>
  <si>
    <t>Vodorovné přemístění výkopku nebo sypaniny (výkopek z rýhy na obrubníky, kameny ad. z kultivace půdy, vybourané plotové sloupky ap.) po suchu na obvyklém dopravním prostředku, se složením, z horniny tř. 1 až 4, na vzdálenost do 4 000 m</t>
  </si>
  <si>
    <t>162 60-1101</t>
  </si>
  <si>
    <t>POŘÍZENÍ A INSTALACE MOBILIÁŘE - do způsobilých výdajů je možno zařadit výdaje do výše 20 % ze způsobilých výdajů na realizaci zeleně</t>
  </si>
  <si>
    <t>TRVALKOVÉ ZÁHONY (VÝSADBA CIBULOVIN) - do způsobilých výádajů je možno zařadit do 20 % z celkových způsobilých výdajů souvisejících s výsadbou či ošetřováním dřevin</t>
  </si>
  <si>
    <t>TERÉNNÍ ÚPRAVY- do způsobilých výdajů je možno zařadit výdaje do výše 20 % ze způsobilých výdajů na realizaci zeleně</t>
  </si>
  <si>
    <r>
      <t>Rozprostření a urovnání ornice v rovině nebo ve svahu sklonu do 1:5 při souvislé ploše do 500 m2, tl. vrstvy do 100 mm</t>
    </r>
    <r>
      <rPr>
        <i/>
        <sz val="10"/>
        <rFont val="Arial"/>
        <family val="2"/>
      </rPr>
      <t xml:space="preserve"> (30,5 m2 před založením živého plotu v lokalitě 1; 27,9 m2 ve zvýšeném záhoně v lokalitě1; 30,7 m2 před výsadbou keřů před tělocvičnou v lokalitě 2; 23 m2 před výsadbou keřů před historickou budovou v lokalitě 3); ornice získaná při realizaci štěrkového trávníku</t>
    </r>
  </si>
  <si>
    <r>
      <t>Hloubení jamek pro vysazování rostlin v zemině tř. 1až4 bez výměny půdy, v rovině</t>
    </r>
    <r>
      <rPr>
        <sz val="10"/>
        <rFont val="Arial"/>
        <family val="2"/>
      </rPr>
      <t>, objemu do 0,02 m3</t>
    </r>
    <r>
      <rPr>
        <i/>
        <sz val="10"/>
        <rFont val="Arial"/>
        <family val="2"/>
      </rPr>
      <t xml:space="preserve"> (mnohokvěté a pokryvné růže, keře jehličnaté, keře listnaté stálezelené a opadavé kromě azalek)</t>
    </r>
  </si>
  <si>
    <r>
      <t xml:space="preserve">Hloubení jamek pro vysazování rostlinu v zemině tř. 1až 4 bez výměny půdy, v rovině, objemu do 0,4 m3 </t>
    </r>
    <r>
      <rPr>
        <i/>
        <sz val="10"/>
        <rFont val="Arial"/>
        <family val="2"/>
      </rPr>
      <t>(strom)</t>
    </r>
  </si>
  <si>
    <r>
      <t>Hloubení jamek pro vysazování rostlin v zemině tř. 1až4 s výměnou půdy na 100%, v rovině, objemu do 0,01 m3</t>
    </r>
    <r>
      <rPr>
        <i/>
        <sz val="10"/>
        <rFont val="Arial"/>
        <family val="2"/>
      </rPr>
      <t xml:space="preserve"> (živé ploty)</t>
    </r>
  </si>
  <si>
    <r>
      <t>Založení záhonu pro výsadbu rostlin (</t>
    </r>
    <r>
      <rPr>
        <i/>
        <sz val="10"/>
        <rFont val="Arial"/>
        <family val="2"/>
      </rPr>
      <t>vyvýšený záhon pro pokryvné růže v lokalitě 1 - dvůr</t>
    </r>
    <r>
      <rPr>
        <sz val="10"/>
        <rFont val="Arial"/>
        <family val="2"/>
      </rPr>
      <t xml:space="preserve">), </t>
    </r>
    <r>
      <rPr>
        <i/>
        <sz val="10"/>
        <rFont val="Arial"/>
        <family val="2"/>
      </rPr>
      <t>včetně odstranění stávajícího krytu (textilie a borka), včetně odstranění odpadů (netkané textilie na skládku - odvoz, uložení a skládkovné)</t>
    </r>
  </si>
  <si>
    <r>
      <t xml:space="preserve">Výsadba stromů bez balu do předem vyhloubené jamky se zalitím, v rovině, při výšce do 1,8 m </t>
    </r>
    <r>
      <rPr>
        <i/>
        <sz val="10"/>
        <rFont val="Arial"/>
        <family val="2"/>
      </rPr>
      <t>(strom)</t>
    </r>
  </si>
  <si>
    <r>
      <t>Ukotvení dřeviny třemi kůly délky do 2 m (</t>
    </r>
    <r>
      <rPr>
        <i/>
        <sz val="10"/>
        <rFont val="Arial"/>
        <family val="2"/>
      </rPr>
      <t>strom</t>
    </r>
    <r>
      <rPr>
        <sz val="10"/>
        <rFont val="Arial"/>
        <family val="2"/>
      </rPr>
      <t>)</t>
    </r>
  </si>
  <si>
    <r>
      <t>Zhotovení závlahové mísy u solitérních dřevin v rovině, o průměru mísy přes 0,5 do 1 m (</t>
    </r>
    <r>
      <rPr>
        <i/>
        <sz val="10"/>
        <rFont val="Arial"/>
        <family val="2"/>
      </rPr>
      <t>strom)</t>
    </r>
  </si>
  <si>
    <r>
      <t>Mulčování vysázených rostlin kůrou tl. do 100 mm</t>
    </r>
    <r>
      <rPr>
        <i/>
        <sz val="10"/>
        <rFont val="Arial"/>
        <family val="2"/>
      </rPr>
      <t xml:space="preserve"> (vyvýšený záhon pro pokryvné růže v lokalitě 1 - použije se znovu kůra ze záhonu dočasně sejmutá)</t>
    </r>
  </si>
  <si>
    <r>
      <t xml:space="preserve">Dovoz vody pro zálivku rostlin na vzdálenost do 1000m </t>
    </r>
    <r>
      <rPr>
        <i/>
        <sz val="10"/>
        <rFont val="Arial"/>
        <family val="2"/>
      </rPr>
      <t>(0,010m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/půdopokryvný keř; 0,020m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/keř; 0,050m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/strom)</t>
    </r>
  </si>
  <si>
    <r>
      <t>Řez stromů redukční, plochy stromu do 120 m</t>
    </r>
    <r>
      <rPr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(borovice u hlavního vchodu)</t>
    </r>
    <r>
      <rPr>
        <sz val="10"/>
        <rFont val="Arial"/>
        <family val="2"/>
      </rPr>
      <t>, včetně odstranění odpadu</t>
    </r>
    <r>
      <rPr>
        <i/>
        <sz val="10"/>
        <rFont val="Arial"/>
        <family val="2"/>
      </rPr>
      <t xml:space="preserve"> (odvoz, uložení a skládkovné) </t>
    </r>
  </si>
  <si>
    <r>
      <t xml:space="preserve">Posyp podkladu s rozprostřením a zhutněním směsí drceného kameniva frakce 8-16 mm (80 objemových %) a kvalitní ornice (20 objemových %), po zhutnění vrstva 100 mm, včetně </t>
    </r>
    <r>
      <rPr>
        <sz val="10"/>
        <rFont val="Arial"/>
        <family val="2"/>
      </rPr>
      <t xml:space="preserve">dodání a </t>
    </r>
    <r>
      <rPr>
        <sz val="10"/>
        <rFont val="Arial"/>
        <family val="2"/>
      </rPr>
      <t>přípravy směsi kameniva a ornice s přídavkem silikátových koloidů</t>
    </r>
    <r>
      <rPr>
        <sz val="10"/>
        <rFont val="Arial"/>
        <family val="2"/>
      </rPr>
      <t>; včetně úpravy a přípravy povrchu půdy pro založení trávníku</t>
    </r>
  </si>
  <si>
    <r>
      <t>Montáž prvků městské a zahradní architektury</t>
    </r>
    <r>
      <rPr>
        <i/>
        <sz val="10"/>
        <rFont val="Arial"/>
        <family val="2"/>
      </rPr>
      <t xml:space="preserve"> (sada židlí se stoly) do 0,1 t</t>
    </r>
  </si>
  <si>
    <r>
      <t>Nakládání, skládání a překládání neulehlého výkopku nebo sypaniny, nakládání, množství do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z hornin tř. 1 až 4 </t>
    </r>
    <r>
      <rPr>
        <i/>
        <sz val="10"/>
        <rFont val="Arial"/>
        <family val="2"/>
      </rPr>
      <t>(kameny apod. z kultivace půdy pro trávníky, stavební zbytky/suť, přebytečný výkopek ap. z ploch určených pro trávníky a výsadby dřevin)</t>
    </r>
  </si>
  <si>
    <r>
      <t>Uložení sypaniny poplatek za uložení sypaniny na skládce (skládkovné)
/převod z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na tuny = *1,8/</t>
    </r>
  </si>
  <si>
    <r>
      <t xml:space="preserve">Vyspravení cesty </t>
    </r>
    <r>
      <rPr>
        <i/>
        <sz val="10"/>
        <rFont val="Arial"/>
        <family val="2"/>
      </rPr>
      <t>(po překopu příjezdové cesty u open air učebny rýhou u obrubníku, š. 15 cm)</t>
    </r>
    <r>
      <rPr>
        <sz val="10"/>
        <rFont val="Arial"/>
        <family val="2"/>
      </rPr>
      <t xml:space="preserve"> plochy do 15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s rozprostřením a zhutněním štěrkodrtí tl. do 200 mm</t>
    </r>
    <r>
      <rPr>
        <i/>
        <sz val="10"/>
        <rFont val="Arial"/>
        <family val="2"/>
      </rPr>
      <t xml:space="preserve"> (použije se materiál z hloubení rýhy)</t>
    </r>
  </si>
  <si>
    <r>
      <t xml:space="preserve">Vyspravení povrchu trávníku </t>
    </r>
    <r>
      <rPr>
        <i/>
        <sz val="10"/>
        <rFont val="Arial"/>
        <family val="2"/>
      </rPr>
      <t>(vně obrubníku podél tělocvičny, po překopu rýhou u obrubníku, š. 15 cm)</t>
    </r>
    <r>
      <rPr>
        <sz val="10"/>
        <rFont val="Arial"/>
        <family val="2"/>
      </rPr>
      <t xml:space="preserve"> plochy do 15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s rozprostřením zeminy tl. do 200 mm</t>
    </r>
    <r>
      <rPr>
        <i/>
        <sz val="10"/>
        <rFont val="Arial"/>
        <family val="2"/>
      </rPr>
      <t xml:space="preserve"> (použije se materiál z hloubení rýhy) a osetím travou, včetně přípravy půdy a utužení</t>
    </r>
  </si>
  <si>
    <r>
      <t xml:space="preserve">Řez stromů výchovný, alejové stromy, výšky do 6 m </t>
    </r>
    <r>
      <rPr>
        <i/>
        <sz val="10"/>
        <rFont val="Arial"/>
        <family val="2"/>
      </rPr>
      <t>(2 x strom = 1. a 3. rok po výsadbě)</t>
    </r>
  </si>
  <si>
    <r>
      <t xml:space="preserve">Odstranění ukotvení dřeviny třemi kůly </t>
    </r>
    <r>
      <rPr>
        <i/>
        <sz val="10"/>
        <rFont val="Arial"/>
        <family val="2"/>
      </rPr>
      <t>(listané stromy 2. rok po výsadbě)</t>
    </r>
  </si>
  <si>
    <r>
      <t>Vypletí dřevin ve skupinách (</t>
    </r>
    <r>
      <rPr>
        <i/>
        <sz val="10"/>
        <rFont val="Arial"/>
        <family val="2"/>
      </rPr>
      <t>všechny výsadby po dobu 3 roky, opakování celkem 10x - viz textová zpráva)</t>
    </r>
  </si>
  <si>
    <r>
      <t>Zalití rostlin vodou plochy záhonů jednotlivě do 20 m</t>
    </r>
    <r>
      <rPr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(opakování celkem 8+6+6 = 20x, vydatnost 10 litrů na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- viz textová zpráva)</t>
    </r>
  </si>
  <si>
    <r>
      <t>Zalití rostlin vodou plochy záhonů jednotlivě přes 20 m</t>
    </r>
    <r>
      <rPr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(opakování celkem 8+6+6 = 20x, vydatnost 10 litrů na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- viz textová zpráva)</t>
    </r>
  </si>
  <si>
    <r>
      <t>Příplatek za zálivku do zvýšených záhonů do 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jednotlivě</t>
    </r>
    <r>
      <rPr>
        <i/>
        <sz val="10"/>
        <rFont val="Arial"/>
        <family val="2"/>
      </rPr>
      <t xml:space="preserve"> (opakování celkem 8+6+6 = 20x, vydatnost 10 litrů na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- viz textová zpráva)</t>
    </r>
  </si>
  <si>
    <r>
      <t>ZALOŽENÍ PLOCH TRÁVNÍKU - do způsobilých výdajů je možno zařadit pouze 20% z celkových způsobilých výdajů souvisejících s výsadbou či ošetřováním dřevin</t>
    </r>
    <r>
      <rPr>
        <sz val="10"/>
        <rFont val="Arial CE"/>
        <family val="2"/>
      </rPr>
      <t>)</t>
    </r>
  </si>
  <si>
    <r>
      <t>ZALOŽENÍ PLOCH TRÁVNÍKU NA ŠTĚRKOVÉM PODLOŽÍ - zařazení do způsobilých výdajů je možno pouze v součtu s předchozí položkou do 20% z celkových způsobilých výdajů souvisejících s výsadbou či ošetřováním dřevin (</t>
    </r>
    <r>
      <rPr>
        <sz val="10"/>
        <rFont val="Arial CE"/>
        <family val="2"/>
      </rPr>
      <t>z limitu pak odečtena částka za založení ploch trávníků = odečten předchozí řádek)</t>
    </r>
  </si>
  <si>
    <r>
      <t>Odstranění nevhodných dřevin v rovině, průměru kmene do 100 mm, výšky nad 1 m s odstraněním pařezu, plocha do 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(keře A - včetně pařezu po již odstr. části, H, K  - hmota se odveze spolu s drtí z vyfrézovaných pařezů)</t>
    </r>
  </si>
  <si>
    <r>
      <t>m</t>
    </r>
    <r>
      <rPr>
        <vertAlign val="superscript"/>
        <sz val="10"/>
        <rFont val="Arial"/>
        <family val="2"/>
      </rPr>
      <t>2</t>
    </r>
  </si>
  <si>
    <t>Odstranění pařezu odfrézováním v rovině hloubky do 200 mm (stromy inv. č.1 a 2 + dva pařezy po dříve odstraněných stromech v lokalitě 3)</t>
  </si>
  <si>
    <r>
      <t>Zásap jam po vyfrézovaných pařezech hloubky do 200 mm v rovině</t>
    </r>
    <r>
      <rPr>
        <i/>
        <sz val="10"/>
        <rFont val="Arial"/>
        <family val="2"/>
      </rPr>
      <t xml:space="preserve"> (na zasypání se použije část zeminy z výkopku z lože pro založení cesty s propustným povrchem)</t>
    </r>
    <r>
      <rPr>
        <sz val="10"/>
        <rFont val="Arial"/>
        <family val="2"/>
      </rPr>
      <t xml:space="preserve"> </t>
    </r>
  </si>
  <si>
    <t xml:space="preserve">Vodorovné přemístění odpadu z frézování pařezů a odstraněných keřů, s naložením, složením a dopravou do 4 000 m, uložením na kompostárnu/skládku (vč. skládkovného/poplatku za uložení na kompostárnu) </t>
  </si>
  <si>
    <r>
      <t>Vodorovné přemístění  s naložením, složením a dopravou do</t>
    </r>
    <r>
      <rPr>
        <sz val="10"/>
        <rFont val="Arial"/>
        <family val="2"/>
      </rPr>
      <t xml:space="preserve"> 5000 </t>
    </r>
    <r>
      <rPr>
        <sz val="10"/>
        <rFont val="Arial"/>
        <family val="2"/>
      </rPr>
      <t xml:space="preserve">m větví stromů jehličnatých průměru od 100 do 300 mm </t>
    </r>
    <r>
      <rPr>
        <i/>
        <sz val="10"/>
        <rFont val="Arial"/>
        <family val="2"/>
      </rPr>
      <t>(stromy č. 1 a 2)</t>
    </r>
  </si>
  <si>
    <r>
      <t>Uložení bioodpadu</t>
    </r>
    <r>
      <rPr>
        <i/>
        <sz val="10"/>
        <rFont val="Arial"/>
        <family val="2"/>
      </rPr>
      <t xml:space="preserve"> (větví stromů jehličnatých)</t>
    </r>
    <r>
      <rPr>
        <sz val="10"/>
        <rFont val="Arial"/>
        <family val="2"/>
      </rPr>
      <t xml:space="preserve"> na kompostárnu/skládku</t>
    </r>
  </si>
  <si>
    <r>
      <t xml:space="preserve">Vodorovné přemístění  s naložením, složením a dopravou do </t>
    </r>
    <r>
      <rPr>
        <sz val="10"/>
        <rFont val="Arial"/>
        <family val="2"/>
      </rPr>
      <t>5000</t>
    </r>
    <r>
      <rPr>
        <sz val="10"/>
        <rFont val="Arial"/>
        <family val="2"/>
      </rPr>
      <t xml:space="preserve"> m kmenů stromů listnatých průměru od 100 do 300 mm </t>
    </r>
    <r>
      <rPr>
        <i/>
        <sz val="10"/>
        <rFont val="Arial"/>
        <family val="2"/>
      </rPr>
      <t>(stromy č. 1 a 2)</t>
    </r>
  </si>
  <si>
    <r>
      <t>POŘÍZENÍ A INSTALACE MOBILIÁŘE (do nezpůsobilých výdajů zařazen rozdíl celkových výdajů na mobiliář a výdajů zařazených do způsobilých výdajů</t>
    </r>
    <r>
      <rPr>
        <sz val="10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</si>
</sst>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8">
    <numFmt numFmtId="164" formatCode="#,##0.00\ &quot;Kč&quot;"/>
    <numFmt numFmtId="165" formatCode="#,##0.00\ _K_č"/>
    <numFmt numFmtId="166" formatCode="#,##0\ _K_č"/>
    <numFmt numFmtId="167" formatCode="0.00000"/>
    <numFmt numFmtId="168" formatCode="#,##0.0\ _K_č"/>
    <numFmt numFmtId="169" formatCode="0.000"/>
    <numFmt numFmtId="170" formatCode="0.0"/>
    <numFmt numFmtId="171" formatCode="#,##0\ &quot;Kč&quot;"/>
  </numFmts>
  <fonts count="2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i/>
      <sz val="12"/>
      <name val="Arial CE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color theme="9" tint="-0.4999699890613556"/>
      <name val="Arial CE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color theme="9" tint="-0.4999699890613556"/>
      <name val="Arial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1"/>
      <name val="Calibri"/>
      <family val="2"/>
      <scheme val="minor"/>
    </font>
    <font>
      <i/>
      <sz val="8"/>
      <name val="Arial CE"/>
      <family val="2"/>
    </font>
    <font>
      <b/>
      <sz val="12"/>
      <name val="Arial CE"/>
      <family val="2"/>
    </font>
    <font>
      <i/>
      <sz val="10"/>
      <color theme="9" tint="-0.4999699890613556"/>
      <name val="Arial CE"/>
      <family val="2"/>
    </font>
    <font>
      <sz val="10"/>
      <color rgb="FFFF000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1" xfId="0" applyNumberForma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4" fillId="0" borderId="1" xfId="0" applyNumberFormat="1" applyFont="1" applyBorder="1" applyAlignment="1">
      <alignment horizontal="center" vertical="top"/>
    </xf>
    <xf numFmtId="0" fontId="0" fillId="0" borderId="0" xfId="0" applyFont="1" applyBorder="1"/>
    <xf numFmtId="0" fontId="0" fillId="0" borderId="1" xfId="0" applyFont="1" applyBorder="1"/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vertical="top"/>
    </xf>
    <xf numFmtId="165" fontId="1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right" vertical="top"/>
    </xf>
    <xf numFmtId="167" fontId="10" fillId="0" borderId="1" xfId="0" applyNumberFormat="1" applyFont="1" applyFill="1" applyBorder="1" applyAlignment="1">
      <alignment vertical="top"/>
    </xf>
    <xf numFmtId="167" fontId="6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right" vertical="top"/>
    </xf>
    <xf numFmtId="167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9" fillId="0" borderId="0" xfId="0" applyFont="1" applyBorder="1"/>
    <xf numFmtId="0" fontId="9" fillId="0" borderId="11" xfId="0" applyFont="1" applyBorder="1"/>
    <xf numFmtId="0" fontId="9" fillId="0" borderId="1" xfId="0" applyFont="1" applyBorder="1"/>
    <xf numFmtId="166" fontId="11" fillId="0" borderId="1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65" fontId="10" fillId="0" borderId="10" xfId="0" applyNumberFormat="1" applyFont="1" applyFill="1" applyBorder="1" applyAlignment="1">
      <alignment horizontal="right" vertical="top"/>
    </xf>
    <xf numFmtId="167" fontId="10" fillId="0" borderId="10" xfId="0" applyNumberFormat="1" applyFont="1" applyFill="1" applyBorder="1" applyAlignment="1">
      <alignment vertical="top"/>
    </xf>
    <xf numFmtId="167" fontId="6" fillId="0" borderId="1" xfId="0" applyNumberFormat="1" applyFont="1" applyFill="1" applyBorder="1" applyAlignment="1">
      <alignment vertical="top"/>
    </xf>
    <xf numFmtId="0" fontId="2" fillId="0" borderId="0" xfId="0" applyFont="1"/>
    <xf numFmtId="165" fontId="6" fillId="0" borderId="1" xfId="0" applyNumberFormat="1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vertical="top" wrapText="1"/>
    </xf>
    <xf numFmtId="167" fontId="0" fillId="0" borderId="1" xfId="0" applyNumberFormat="1" applyFont="1" applyBorder="1" applyAlignment="1">
      <alignment vertical="top"/>
    </xf>
    <xf numFmtId="166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65" fontId="1" fillId="0" borderId="10" xfId="0" applyNumberFormat="1" applyFont="1" applyFill="1" applyBorder="1" applyAlignment="1">
      <alignment horizontal="right" vertical="top"/>
    </xf>
    <xf numFmtId="167" fontId="1" fillId="0" borderId="1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165" fontId="14" fillId="0" borderId="1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horizontal="center" vertical="top"/>
    </xf>
    <xf numFmtId="0" fontId="15" fillId="0" borderId="0" xfId="0" applyFont="1" applyAlignment="1">
      <alignment wrapText="1"/>
    </xf>
    <xf numFmtId="0" fontId="16" fillId="0" borderId="1" xfId="0" applyFont="1" applyBorder="1" applyAlignment="1">
      <alignment horizontal="right"/>
    </xf>
    <xf numFmtId="0" fontId="0" fillId="0" borderId="0" xfId="0" applyFont="1" applyFill="1"/>
    <xf numFmtId="169" fontId="1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right" vertical="top"/>
    </xf>
    <xf numFmtId="167" fontId="4" fillId="0" borderId="1" xfId="0" applyNumberFormat="1" applyFont="1" applyFill="1" applyBorder="1" applyAlignment="1">
      <alignment vertical="top"/>
    </xf>
    <xf numFmtId="170" fontId="1" fillId="0" borderId="1" xfId="0" applyNumberFormat="1" applyFont="1" applyFill="1" applyBorder="1" applyAlignment="1">
      <alignment horizontal="center" vertical="top"/>
    </xf>
    <xf numFmtId="0" fontId="14" fillId="0" borderId="0" xfId="0" applyFont="1"/>
    <xf numFmtId="0" fontId="17" fillId="0" borderId="1" xfId="0" applyFont="1" applyBorder="1"/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/>
    </xf>
    <xf numFmtId="171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4" fontId="5" fillId="0" borderId="1" xfId="0" applyNumberFormat="1" applyFont="1" applyBorder="1" applyAlignment="1">
      <alignment horizontal="left" vertical="top"/>
    </xf>
    <xf numFmtId="164" fontId="17" fillId="0" borderId="1" xfId="0" applyNumberFormat="1" applyFont="1" applyBorder="1"/>
    <xf numFmtId="165" fontId="0" fillId="0" borderId="0" xfId="0" applyNumberFormat="1"/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0" fontId="18" fillId="0" borderId="0" xfId="0" applyFont="1"/>
    <xf numFmtId="167" fontId="10" fillId="0" borderId="0" xfId="0" applyNumberFormat="1" applyFont="1" applyFill="1" applyAlignment="1">
      <alignment vertical="top"/>
    </xf>
    <xf numFmtId="167" fontId="12" fillId="0" borderId="0" xfId="0" applyNumberFormat="1" applyFont="1" applyFill="1" applyAlignment="1">
      <alignment vertical="top"/>
    </xf>
    <xf numFmtId="167" fontId="10" fillId="0" borderId="1" xfId="0" applyNumberFormat="1" applyFont="1" applyFill="1" applyBorder="1" applyAlignment="1">
      <alignment vertical="top"/>
    </xf>
    <xf numFmtId="2" fontId="0" fillId="0" borderId="0" xfId="0" applyNumberFormat="1" applyFont="1"/>
    <xf numFmtId="169" fontId="1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6" fontId="19" fillId="0" borderId="0" xfId="0" applyNumberFormat="1" applyFont="1"/>
    <xf numFmtId="165" fontId="1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166" fontId="9" fillId="0" borderId="0" xfId="0" applyNumberFormat="1" applyFont="1"/>
    <xf numFmtId="165" fontId="9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quotePrefix="1"/>
    <xf numFmtId="164" fontId="0" fillId="0" borderId="0" xfId="0" applyNumberFormat="1"/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7" fontId="1" fillId="0" borderId="1" xfId="0" applyNumberFormat="1" applyFont="1" applyFill="1" applyBorder="1" applyAlignment="1">
      <alignment horizontal="center" vertical="top"/>
    </xf>
    <xf numFmtId="0" fontId="0" fillId="0" borderId="1" xfId="0" applyFont="1" applyBorder="1"/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/>
    </xf>
    <xf numFmtId="166" fontId="1" fillId="0" borderId="13" xfId="0" applyNumberFormat="1" applyFont="1" applyFill="1" applyBorder="1" applyAlignment="1">
      <alignment horizontal="center" vertical="top" wrapText="1"/>
    </xf>
    <xf numFmtId="165" fontId="1" fillId="0" borderId="13" xfId="0" applyNumberFormat="1" applyFont="1" applyFill="1" applyBorder="1" applyAlignment="1">
      <alignment horizontal="right" vertical="top"/>
    </xf>
    <xf numFmtId="167" fontId="1" fillId="0" borderId="13" xfId="0" applyNumberFormat="1" applyFont="1" applyFill="1" applyBorder="1" applyAlignment="1">
      <alignment vertical="top"/>
    </xf>
    <xf numFmtId="166" fontId="6" fillId="0" borderId="10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/>
    </xf>
    <xf numFmtId="169" fontId="1" fillId="0" borderId="10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65" fontId="4" fillId="0" borderId="1" xfId="0" applyNumberFormat="1" applyFont="1" applyBorder="1" applyAlignment="1" applyProtection="1">
      <alignment horizontal="center" vertical="top"/>
      <protection locked="0"/>
    </xf>
    <xf numFmtId="165" fontId="4" fillId="0" borderId="10" xfId="0" applyNumberFormat="1" applyFont="1" applyBorder="1" applyAlignment="1" applyProtection="1">
      <alignment horizontal="center" vertical="top"/>
      <protection locked="0"/>
    </xf>
    <xf numFmtId="165" fontId="0" fillId="0" borderId="1" xfId="0" applyNumberFormat="1" applyFont="1" applyBorder="1" applyAlignment="1" applyProtection="1">
      <alignment vertical="top"/>
      <protection locked="0"/>
    </xf>
    <xf numFmtId="165" fontId="1" fillId="0" borderId="1" xfId="0" applyNumberFormat="1" applyFont="1" applyFill="1" applyBorder="1" applyAlignment="1" applyProtection="1">
      <alignment horizontal="right" vertical="top"/>
      <protection locked="0"/>
    </xf>
    <xf numFmtId="165" fontId="1" fillId="0" borderId="1" xfId="0" applyNumberFormat="1" applyFont="1" applyBorder="1" applyAlignment="1" applyProtection="1">
      <alignment horizontal="right" vertical="top"/>
      <protection locked="0"/>
    </xf>
    <xf numFmtId="165" fontId="10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1" fillId="0" borderId="13" xfId="0" applyNumberFormat="1" applyFont="1" applyFill="1" applyBorder="1" applyAlignment="1" applyProtection="1">
      <alignment horizontal="right" vertical="top"/>
      <protection locked="0"/>
    </xf>
    <xf numFmtId="165" fontId="10" fillId="0" borderId="10" xfId="0" applyNumberFormat="1" applyFont="1" applyFill="1" applyBorder="1" applyAlignment="1" applyProtection="1">
      <alignment horizontal="right" vertical="top"/>
      <protection locked="0"/>
    </xf>
    <xf numFmtId="165" fontId="1" fillId="0" borderId="10" xfId="0" applyNumberFormat="1" applyFont="1" applyBorder="1" applyAlignment="1" applyProtection="1">
      <alignment horizontal="right" vertical="top"/>
      <protection locked="0"/>
    </xf>
    <xf numFmtId="165" fontId="14" fillId="0" borderId="1" xfId="0" applyNumberFormat="1" applyFont="1" applyBorder="1" applyAlignment="1" applyProtection="1">
      <alignment vertical="top"/>
      <protection locked="0"/>
    </xf>
    <xf numFmtId="0" fontId="0" fillId="0" borderId="1" xfId="0" applyFont="1" applyBorder="1" applyProtection="1">
      <protection locked="0"/>
    </xf>
    <xf numFmtId="165" fontId="6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165" fontId="1" fillId="0" borderId="10" xfId="0" applyNumberFormat="1" applyFont="1" applyFill="1" applyBorder="1" applyAlignment="1" applyProtection="1">
      <alignment horizontal="right" vertical="top"/>
      <protection locked="0"/>
    </xf>
    <xf numFmtId="165" fontId="0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SheetLayoutView="100" workbookViewId="0" topLeftCell="A1">
      <selection activeCell="C24" sqref="C24"/>
    </sheetView>
  </sheetViews>
  <sheetFormatPr defaultColWidth="9.00390625" defaultRowHeight="12.75"/>
  <cols>
    <col min="2" max="2" width="13.375" style="0" customWidth="1"/>
    <col min="3" max="3" width="42.25390625" style="0" customWidth="1"/>
    <col min="4" max="5" width="15.00390625" style="0" customWidth="1"/>
    <col min="6" max="7" width="14.00390625" style="0" bestFit="1" customWidth="1"/>
    <col min="8" max="8" width="15.00390625" style="0" customWidth="1"/>
    <col min="9" max="9" width="10.875" style="0" bestFit="1" customWidth="1"/>
    <col min="10" max="10" width="10.625" style="0" customWidth="1"/>
    <col min="13" max="13" width="13.125" style="0" bestFit="1" customWidth="1"/>
    <col min="14" max="14" width="11.375" style="0" bestFit="1" customWidth="1"/>
  </cols>
  <sheetData>
    <row r="2" spans="1:8" ht="12.75">
      <c r="A2" s="9"/>
      <c r="B2" s="10"/>
      <c r="C2" s="10"/>
      <c r="D2" s="10"/>
      <c r="E2" s="10"/>
      <c r="F2" s="10"/>
      <c r="G2" s="10"/>
      <c r="H2" s="11"/>
    </row>
    <row r="3" spans="1:8" ht="15">
      <c r="A3" s="12"/>
      <c r="B3" s="13"/>
      <c r="C3" s="14" t="s">
        <v>2</v>
      </c>
      <c r="D3" s="13"/>
      <c r="E3" s="13"/>
      <c r="F3" s="13"/>
      <c r="G3" s="13"/>
      <c r="H3" s="15"/>
    </row>
    <row r="4" spans="1:8" ht="12.75">
      <c r="A4" s="12"/>
      <c r="B4" s="13"/>
      <c r="C4" s="13"/>
      <c r="D4" s="13"/>
      <c r="E4" s="13"/>
      <c r="F4" s="13"/>
      <c r="G4" s="13"/>
      <c r="H4" s="15"/>
    </row>
    <row r="5" spans="1:8" ht="12.75">
      <c r="A5" s="12"/>
      <c r="B5" s="2" t="s">
        <v>18</v>
      </c>
      <c r="C5" s="145" t="s">
        <v>3</v>
      </c>
      <c r="D5" s="145"/>
      <c r="E5" s="145"/>
      <c r="F5" s="145"/>
      <c r="G5" s="145"/>
      <c r="H5" s="15"/>
    </row>
    <row r="6" spans="1:8" ht="12.75">
      <c r="A6" s="12"/>
      <c r="B6" s="13"/>
      <c r="C6" s="13"/>
      <c r="D6" s="13"/>
      <c r="E6" s="13"/>
      <c r="F6" s="13"/>
      <c r="G6" s="13"/>
      <c r="H6" s="15"/>
    </row>
    <row r="7" spans="1:8" ht="12.75">
      <c r="A7" s="12"/>
      <c r="B7" s="2" t="s">
        <v>19</v>
      </c>
      <c r="C7" s="145" t="s">
        <v>0</v>
      </c>
      <c r="D7" s="145"/>
      <c r="E7" s="145"/>
      <c r="F7" s="145"/>
      <c r="G7" s="145"/>
      <c r="H7" s="15"/>
    </row>
    <row r="8" spans="1:8" ht="12.75">
      <c r="A8" s="12"/>
      <c r="B8" s="13"/>
      <c r="C8" s="13"/>
      <c r="D8" s="13"/>
      <c r="E8" s="13"/>
      <c r="F8" s="13"/>
      <c r="G8" s="13"/>
      <c r="H8" s="15"/>
    </row>
    <row r="9" spans="1:8" ht="12.75">
      <c r="A9" s="12"/>
      <c r="B9" s="3" t="s">
        <v>1</v>
      </c>
      <c r="C9" s="146" t="s">
        <v>4</v>
      </c>
      <c r="D9" s="146"/>
      <c r="E9" s="146"/>
      <c r="F9" s="146"/>
      <c r="G9" s="146"/>
      <c r="H9" s="15"/>
    </row>
    <row r="10" spans="1:8" ht="12.75">
      <c r="A10" s="12"/>
      <c r="B10" s="13"/>
      <c r="C10" s="13"/>
      <c r="D10" s="13"/>
      <c r="E10" s="13"/>
      <c r="F10" s="13"/>
      <c r="G10" s="13"/>
      <c r="H10" s="15"/>
    </row>
    <row r="11" spans="1:8" ht="12.75">
      <c r="A11" s="12"/>
      <c r="B11" s="2" t="s">
        <v>6</v>
      </c>
      <c r="C11" s="2"/>
      <c r="D11" s="2" t="s">
        <v>7</v>
      </c>
      <c r="E11" s="2" t="s">
        <v>7</v>
      </c>
      <c r="F11" s="2" t="s">
        <v>8</v>
      </c>
      <c r="G11" s="2" t="s">
        <v>8</v>
      </c>
      <c r="H11" s="15"/>
    </row>
    <row r="12" spans="1:8" ht="12.75">
      <c r="A12" s="12"/>
      <c r="B12" s="2" t="s">
        <v>5</v>
      </c>
      <c r="C12" s="2" t="s">
        <v>11</v>
      </c>
      <c r="D12" s="2" t="s">
        <v>9</v>
      </c>
      <c r="E12" s="2" t="s">
        <v>10</v>
      </c>
      <c r="F12" s="2" t="s">
        <v>9</v>
      </c>
      <c r="G12" s="2" t="s">
        <v>10</v>
      </c>
      <c r="H12" s="15"/>
    </row>
    <row r="13" spans="1:8" ht="25.5">
      <c r="A13" s="12"/>
      <c r="B13" s="2"/>
      <c r="C13" s="4" t="s">
        <v>12</v>
      </c>
      <c r="D13" s="6">
        <f>'Způsobilé výdaje'!F254</f>
        <v>0</v>
      </c>
      <c r="E13" s="6">
        <f>D13*1.21</f>
        <v>0</v>
      </c>
      <c r="F13" s="6">
        <f>'Nezpůsobilé výdaje'!F32</f>
        <v>0</v>
      </c>
      <c r="G13" s="6">
        <f>F13*1.21</f>
        <v>0</v>
      </c>
      <c r="H13" s="15"/>
    </row>
    <row r="14" spans="1:8" ht="12.75">
      <c r="A14" s="12"/>
      <c r="B14" s="13"/>
      <c r="C14" s="13"/>
      <c r="D14" s="13"/>
      <c r="E14" s="13"/>
      <c r="F14" s="13"/>
      <c r="G14" s="13"/>
      <c r="H14" s="15"/>
    </row>
    <row r="15" spans="1:8" ht="12.75">
      <c r="A15" s="12"/>
      <c r="B15" s="13"/>
      <c r="C15" s="13"/>
      <c r="D15" s="13"/>
      <c r="E15" s="13"/>
      <c r="F15" s="13"/>
      <c r="G15" s="13"/>
      <c r="H15" s="15"/>
    </row>
    <row r="16" spans="1:8" ht="12.75">
      <c r="A16" s="12"/>
      <c r="B16" s="2" t="s">
        <v>13</v>
      </c>
      <c r="C16" s="2" t="s">
        <v>14</v>
      </c>
      <c r="D16" s="2" t="s">
        <v>9</v>
      </c>
      <c r="E16" s="2" t="s">
        <v>10</v>
      </c>
      <c r="F16" s="2" t="s">
        <v>9</v>
      </c>
      <c r="G16" s="2" t="s">
        <v>10</v>
      </c>
      <c r="H16" s="15"/>
    </row>
    <row r="17" spans="1:8" ht="24.75" customHeight="1">
      <c r="A17" s="12"/>
      <c r="B17" s="3"/>
      <c r="C17" s="3" t="s">
        <v>15</v>
      </c>
      <c r="D17" s="6">
        <f>VRN!F7</f>
        <v>0</v>
      </c>
      <c r="E17" s="6">
        <f>D17*1.21</f>
        <v>0</v>
      </c>
      <c r="F17" s="6">
        <v>0</v>
      </c>
      <c r="G17" s="6">
        <f>F17*1.21</f>
        <v>0</v>
      </c>
      <c r="H17" s="15"/>
    </row>
    <row r="18" spans="1:8" ht="12.75">
      <c r="A18" s="12"/>
      <c r="B18" s="13"/>
      <c r="C18" s="13"/>
      <c r="D18" s="13"/>
      <c r="E18" s="13"/>
      <c r="F18" s="13"/>
      <c r="G18" s="13"/>
      <c r="H18" s="15"/>
    </row>
    <row r="19" spans="1:8" ht="12.75">
      <c r="A19" s="12"/>
      <c r="B19" s="13"/>
      <c r="C19" s="13"/>
      <c r="D19" s="13"/>
      <c r="E19" s="13"/>
      <c r="F19" s="13"/>
      <c r="G19" s="13"/>
      <c r="H19" s="15"/>
    </row>
    <row r="20" spans="1:8" ht="12.75">
      <c r="A20" s="12"/>
      <c r="B20" s="1" t="s">
        <v>20</v>
      </c>
      <c r="C20" s="1" t="s">
        <v>16</v>
      </c>
      <c r="D20" s="7">
        <f>D13+D17</f>
        <v>0</v>
      </c>
      <c r="E20" s="7">
        <f aca="true" t="shared" si="0" ref="E20:G20">E13+E17</f>
        <v>0</v>
      </c>
      <c r="F20" s="7">
        <f t="shared" si="0"/>
        <v>0</v>
      </c>
      <c r="G20" s="7">
        <f t="shared" si="0"/>
        <v>0</v>
      </c>
      <c r="H20" s="15"/>
    </row>
    <row r="21" spans="1:8" ht="12.75">
      <c r="A21" s="12"/>
      <c r="B21" s="13"/>
      <c r="C21" s="13"/>
      <c r="D21" s="13"/>
      <c r="E21" s="13"/>
      <c r="F21" s="13"/>
      <c r="G21" s="13"/>
      <c r="H21" s="15"/>
    </row>
    <row r="22" spans="1:8" ht="12.75">
      <c r="A22" s="12"/>
      <c r="B22" s="13"/>
      <c r="C22" s="13"/>
      <c r="D22" s="13"/>
      <c r="E22" s="13"/>
      <c r="F22" s="13"/>
      <c r="G22" s="13"/>
      <c r="H22" s="15"/>
    </row>
    <row r="23" spans="1:8" ht="15">
      <c r="A23" s="12"/>
      <c r="B23" s="8" t="s">
        <v>21</v>
      </c>
      <c r="C23" s="8" t="s">
        <v>16</v>
      </c>
      <c r="D23" s="8" t="s">
        <v>9</v>
      </c>
      <c r="E23" s="144">
        <f>D20+F20</f>
        <v>0</v>
      </c>
      <c r="F23" s="144"/>
      <c r="G23" s="144"/>
      <c r="H23" s="15"/>
    </row>
    <row r="24" spans="1:10" ht="15">
      <c r="A24" s="12"/>
      <c r="B24" s="8" t="s">
        <v>21</v>
      </c>
      <c r="C24" s="8" t="s">
        <v>16</v>
      </c>
      <c r="D24" s="8" t="s">
        <v>10</v>
      </c>
      <c r="E24" s="144">
        <f>E20+G20</f>
        <v>0</v>
      </c>
      <c r="F24" s="144"/>
      <c r="G24" s="144"/>
      <c r="H24" s="15"/>
      <c r="J24" s="123"/>
    </row>
    <row r="25" spans="1:8" ht="12.75">
      <c r="A25" s="12"/>
      <c r="B25" s="13"/>
      <c r="C25" s="13"/>
      <c r="D25" s="13"/>
      <c r="E25" s="13"/>
      <c r="F25" s="13"/>
      <c r="G25" s="13"/>
      <c r="H25" s="15"/>
    </row>
    <row r="26" spans="1:8" ht="12.75">
      <c r="A26" s="12"/>
      <c r="B26" s="13"/>
      <c r="C26" s="13"/>
      <c r="D26" s="13"/>
      <c r="E26" s="13"/>
      <c r="F26" s="13"/>
      <c r="G26" s="13"/>
      <c r="H26" s="15"/>
    </row>
    <row r="27" spans="1:8" ht="12.75">
      <c r="A27" s="12"/>
      <c r="B27" s="13"/>
      <c r="C27" s="13"/>
      <c r="D27" s="13"/>
      <c r="E27" s="13"/>
      <c r="F27" s="13"/>
      <c r="G27" s="13"/>
      <c r="H27" s="15"/>
    </row>
    <row r="28" spans="1:8" ht="12.75">
      <c r="A28" s="12"/>
      <c r="B28" s="13"/>
      <c r="C28" s="13"/>
      <c r="D28" s="13"/>
      <c r="E28" s="13"/>
      <c r="F28" s="13"/>
      <c r="G28" s="13"/>
      <c r="H28" s="15"/>
    </row>
    <row r="29" spans="1:8" ht="12.75">
      <c r="A29" s="12"/>
      <c r="B29" s="13"/>
      <c r="C29" s="13" t="s">
        <v>17</v>
      </c>
      <c r="D29" s="13"/>
      <c r="E29" s="13"/>
      <c r="F29" s="13"/>
      <c r="G29" s="13"/>
      <c r="H29" s="15"/>
    </row>
    <row r="30" spans="1:8" ht="12.75">
      <c r="A30" s="12"/>
      <c r="B30" s="13"/>
      <c r="C30" s="13"/>
      <c r="D30" s="13"/>
      <c r="E30" s="13"/>
      <c r="F30" s="13"/>
      <c r="G30" s="13"/>
      <c r="H30" s="15"/>
    </row>
    <row r="31" spans="1:8" ht="12.75">
      <c r="A31" s="12"/>
      <c r="B31" s="13"/>
      <c r="C31" s="13"/>
      <c r="D31" s="13"/>
      <c r="E31" s="13"/>
      <c r="F31" s="13"/>
      <c r="G31" s="13"/>
      <c r="H31" s="15"/>
    </row>
    <row r="32" spans="1:8" ht="12.75">
      <c r="A32" s="12"/>
      <c r="B32" s="13"/>
      <c r="C32" s="13"/>
      <c r="D32" s="5"/>
      <c r="E32" s="5"/>
      <c r="F32" s="5"/>
      <c r="G32" s="13"/>
      <c r="H32" s="15"/>
    </row>
    <row r="33" spans="1:8" ht="12.75">
      <c r="A33" s="12"/>
      <c r="B33" s="13"/>
      <c r="C33" s="13"/>
      <c r="D33" s="13"/>
      <c r="E33" s="13"/>
      <c r="F33" s="13"/>
      <c r="G33" s="13"/>
      <c r="H33" s="15"/>
    </row>
    <row r="34" spans="1:8" ht="12.75">
      <c r="A34" s="16"/>
      <c r="B34" s="5"/>
      <c r="C34" s="5"/>
      <c r="D34" s="5"/>
      <c r="E34" s="5"/>
      <c r="F34" s="5"/>
      <c r="G34" s="5"/>
      <c r="H34" s="17"/>
    </row>
  </sheetData>
  <sheetProtection password="CFD1" sheet="1" objects="1" scenarios="1"/>
  <mergeCells count="5">
    <mergeCell ref="E24:G24"/>
    <mergeCell ref="C5:G5"/>
    <mergeCell ref="C7:G7"/>
    <mergeCell ref="C9:G9"/>
    <mergeCell ref="E23:G23"/>
  </mergeCells>
  <printOptions/>
  <pageMargins left="0.7874015748031497" right="0.7874015748031497" top="1.1811023622047245" bottom="0.984251968503937" header="0.5118110236220472" footer="0.5118110236220472"/>
  <pageSetup firstPageNumber="1" useFirstPageNumber="1" fitToHeight="0" fitToWidth="1" horizontalDpi="600" verticalDpi="600" orientation="landscape" paperSize="9" scale="95" r:id="rId2"/>
  <headerFooter alignWithMargins="0">
    <oddHeader>&amp;L
Revitalizace parků a zahrad Kraje Vysočina 
u objektu Gymnázia Havlíčkův Brod
&amp;12
&amp;C
ROZPOČET
REKAPITULACE&amp;R&amp;G</oddHeader>
    <oddFooter>&amp;L&amp;P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2"/>
  <sheetViews>
    <sheetView zoomScaleSheetLayoutView="100" workbookViewId="0" topLeftCell="A235">
      <selection activeCell="J5" sqref="J5"/>
    </sheetView>
  </sheetViews>
  <sheetFormatPr defaultColWidth="9.00390625" defaultRowHeight="12.75"/>
  <cols>
    <col min="1" max="1" width="11.125" style="0" bestFit="1" customWidth="1"/>
    <col min="2" max="2" width="46.75390625" style="0" customWidth="1"/>
    <col min="4" max="4" width="15.00390625" style="0" customWidth="1"/>
    <col min="5" max="5" width="12.25390625" style="163" bestFit="1" customWidth="1"/>
    <col min="6" max="6" width="16.375" style="0" bestFit="1" customWidth="1"/>
    <col min="7" max="7" width="10.875" style="0" bestFit="1" customWidth="1"/>
    <col min="8" max="8" width="10.625" style="0" customWidth="1"/>
    <col min="10" max="11" width="12.875" style="0" customWidth="1"/>
  </cols>
  <sheetData>
    <row r="1" spans="1:55" s="20" customFormat="1" ht="12.75">
      <c r="A1" s="147" t="s">
        <v>22</v>
      </c>
      <c r="B1" s="147"/>
      <c r="C1" s="147"/>
      <c r="D1" s="143" t="s">
        <v>23</v>
      </c>
      <c r="E1" s="148" t="s">
        <v>24</v>
      </c>
      <c r="F1" s="18" t="s">
        <v>25</v>
      </c>
      <c r="G1" s="18" t="s">
        <v>26</v>
      </c>
      <c r="H1" s="18" t="s">
        <v>27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8" s="25" customFormat="1" ht="12.75">
      <c r="A2" s="21" t="s">
        <v>28</v>
      </c>
      <c r="B2" s="22" t="s">
        <v>29</v>
      </c>
      <c r="C2" s="23" t="s">
        <v>30</v>
      </c>
      <c r="D2" s="21" t="s">
        <v>30</v>
      </c>
      <c r="E2" s="149" t="s">
        <v>31</v>
      </c>
      <c r="F2" s="24" t="s">
        <v>31</v>
      </c>
      <c r="G2" s="24" t="s">
        <v>32</v>
      </c>
      <c r="H2" s="24" t="s">
        <v>32</v>
      </c>
    </row>
    <row r="3" spans="1:8" s="25" customFormat="1" ht="15">
      <c r="A3" s="26"/>
      <c r="B3" s="27" t="s">
        <v>33</v>
      </c>
      <c r="C3" s="26"/>
      <c r="D3" s="28"/>
      <c r="E3" s="150"/>
      <c r="F3" s="29"/>
      <c r="G3" s="28"/>
      <c r="H3" s="20"/>
    </row>
    <row r="4" spans="1:8" s="25" customFormat="1" ht="15">
      <c r="A4" s="26" t="s">
        <v>167</v>
      </c>
      <c r="B4" s="27"/>
      <c r="C4" s="26"/>
      <c r="D4" s="28"/>
      <c r="E4" s="150"/>
      <c r="F4" s="29"/>
      <c r="G4" s="28"/>
      <c r="H4" s="20"/>
    </row>
    <row r="5" spans="1:12" s="25" customFormat="1" ht="102">
      <c r="A5" s="76" t="s">
        <v>216</v>
      </c>
      <c r="B5" s="34" t="s">
        <v>270</v>
      </c>
      <c r="C5" s="30" t="s">
        <v>40</v>
      </c>
      <c r="D5" s="76">
        <f>30.5+27.9+30.7+23</f>
        <v>112.1</v>
      </c>
      <c r="E5" s="151"/>
      <c r="F5" s="29">
        <f>D5*E5</f>
        <v>0</v>
      </c>
      <c r="G5" s="33">
        <v>0</v>
      </c>
      <c r="H5" s="33">
        <f>G5*D5</f>
        <v>0</v>
      </c>
      <c r="K5" s="117"/>
      <c r="L5" s="117"/>
    </row>
    <row r="6" spans="1:8" s="25" customFormat="1" ht="15">
      <c r="A6" s="26" t="s">
        <v>34</v>
      </c>
      <c r="B6" s="27"/>
      <c r="C6" s="26"/>
      <c r="D6" s="28"/>
      <c r="E6" s="150"/>
      <c r="F6" s="29"/>
      <c r="G6" s="28"/>
      <c r="H6" s="20"/>
    </row>
    <row r="7" spans="1:10" s="25" customFormat="1" ht="38.25">
      <c r="A7" s="30" t="s">
        <v>35</v>
      </c>
      <c r="B7" s="31" t="s">
        <v>231</v>
      </c>
      <c r="C7" s="30" t="s">
        <v>36</v>
      </c>
      <c r="D7" s="32">
        <f>SUM(D45:D46)</f>
        <v>1048</v>
      </c>
      <c r="E7" s="152"/>
      <c r="F7" s="29">
        <f aca="true" t="shared" si="0" ref="F7:F27">D7*E7</f>
        <v>0</v>
      </c>
      <c r="G7" s="33">
        <v>0</v>
      </c>
      <c r="H7" s="33">
        <f aca="true" t="shared" si="1" ref="H7:H26">D7*G7</f>
        <v>0</v>
      </c>
      <c r="J7" s="115"/>
    </row>
    <row r="8" spans="1:8" s="25" customFormat="1" ht="51">
      <c r="A8" s="30" t="s">
        <v>248</v>
      </c>
      <c r="B8" s="31" t="s">
        <v>271</v>
      </c>
      <c r="C8" s="30" t="s">
        <v>36</v>
      </c>
      <c r="D8" s="32">
        <f>SUM(D33:D40)+SUM(D48:D53)+SUM(D54:D58)+SUM(D64:D71)</f>
        <v>182</v>
      </c>
      <c r="E8" s="152"/>
      <c r="F8" s="29">
        <f t="shared" si="0"/>
        <v>0</v>
      </c>
      <c r="G8" s="33">
        <v>0</v>
      </c>
      <c r="H8" s="33">
        <f t="shared" si="1"/>
        <v>0</v>
      </c>
    </row>
    <row r="9" spans="1:8" s="25" customFormat="1" ht="38.25">
      <c r="A9" s="30" t="s">
        <v>229</v>
      </c>
      <c r="B9" s="31" t="s">
        <v>272</v>
      </c>
      <c r="C9" s="30" t="s">
        <v>36</v>
      </c>
      <c r="D9" s="32">
        <f>D73</f>
        <v>1</v>
      </c>
      <c r="E9" s="152"/>
      <c r="F9" s="29">
        <f t="shared" si="0"/>
        <v>0</v>
      </c>
      <c r="G9" s="33">
        <v>0</v>
      </c>
      <c r="H9" s="33">
        <f t="shared" si="1"/>
        <v>0</v>
      </c>
    </row>
    <row r="10" spans="1:8" s="25" customFormat="1" ht="38.25">
      <c r="A10" s="76" t="s">
        <v>222</v>
      </c>
      <c r="B10" s="34" t="s">
        <v>273</v>
      </c>
      <c r="C10" s="30" t="s">
        <v>36</v>
      </c>
      <c r="D10" s="32">
        <f>SUM(D42:D43)</f>
        <v>117</v>
      </c>
      <c r="E10" s="151"/>
      <c r="F10" s="29">
        <f t="shared" si="0"/>
        <v>0</v>
      </c>
      <c r="G10" s="33">
        <v>0</v>
      </c>
      <c r="H10" s="33">
        <f t="shared" si="1"/>
        <v>0</v>
      </c>
    </row>
    <row r="11" spans="1:8" s="25" customFormat="1" ht="51">
      <c r="A11" s="76" t="s">
        <v>221</v>
      </c>
      <c r="B11" s="34" t="s">
        <v>230</v>
      </c>
      <c r="C11" s="30" t="s">
        <v>36</v>
      </c>
      <c r="D11" s="32">
        <f>SUM(D60:D63)</f>
        <v>13</v>
      </c>
      <c r="E11" s="151"/>
      <c r="F11" s="29">
        <f t="shared" si="0"/>
        <v>0</v>
      </c>
      <c r="G11" s="33">
        <v>0</v>
      </c>
      <c r="H11" s="33">
        <f t="shared" si="1"/>
        <v>0</v>
      </c>
    </row>
    <row r="12" spans="1:11" s="25" customFormat="1" ht="51">
      <c r="A12" s="30" t="s">
        <v>38</v>
      </c>
      <c r="B12" s="31" t="s">
        <v>39</v>
      </c>
      <c r="C12" s="30" t="s">
        <v>40</v>
      </c>
      <c r="D12" s="32">
        <f>35+56+12+7+15+23+31+3</f>
        <v>182</v>
      </c>
      <c r="E12" s="152"/>
      <c r="F12" s="29">
        <f t="shared" si="0"/>
        <v>0</v>
      </c>
      <c r="G12" s="33">
        <v>0</v>
      </c>
      <c r="H12" s="33">
        <f t="shared" si="1"/>
        <v>0</v>
      </c>
      <c r="K12" s="117"/>
    </row>
    <row r="13" spans="1:8" s="25" customFormat="1" ht="63.75">
      <c r="A13" s="30" t="s">
        <v>37</v>
      </c>
      <c r="B13" s="31" t="s">
        <v>274</v>
      </c>
      <c r="C13" s="30" t="s">
        <v>40</v>
      </c>
      <c r="D13" s="32">
        <v>28</v>
      </c>
      <c r="E13" s="152"/>
      <c r="F13" s="29">
        <f t="shared" si="0"/>
        <v>0</v>
      </c>
      <c r="G13" s="33">
        <v>0</v>
      </c>
      <c r="H13" s="33">
        <f t="shared" si="1"/>
        <v>0</v>
      </c>
    </row>
    <row r="14" spans="1:10" s="25" customFormat="1" ht="41.25" customHeight="1">
      <c r="A14" s="30" t="s">
        <v>41</v>
      </c>
      <c r="B14" s="31" t="s">
        <v>42</v>
      </c>
      <c r="C14" s="30" t="s">
        <v>36</v>
      </c>
      <c r="D14" s="32">
        <f>SUM(D45:D46)</f>
        <v>1048</v>
      </c>
      <c r="E14" s="151"/>
      <c r="F14" s="29">
        <f t="shared" si="0"/>
        <v>0</v>
      </c>
      <c r="G14" s="33">
        <v>0</v>
      </c>
      <c r="H14" s="33">
        <f t="shared" si="1"/>
        <v>0</v>
      </c>
      <c r="J14" s="115"/>
    </row>
    <row r="15" spans="1:8" s="25" customFormat="1" ht="41.25" customHeight="1">
      <c r="A15" s="30" t="s">
        <v>43</v>
      </c>
      <c r="B15" s="31" t="s">
        <v>44</v>
      </c>
      <c r="C15" s="30" t="s">
        <v>36</v>
      </c>
      <c r="D15" s="32">
        <f>SUM(D48:D71)+SUM(D42:D43)</f>
        <v>186</v>
      </c>
      <c r="E15" s="151"/>
      <c r="F15" s="29">
        <f t="shared" si="0"/>
        <v>0</v>
      </c>
      <c r="G15" s="33">
        <v>0</v>
      </c>
      <c r="H15" s="33">
        <f t="shared" si="1"/>
        <v>0</v>
      </c>
    </row>
    <row r="16" spans="1:8" s="25" customFormat="1" ht="38.25">
      <c r="A16" s="30" t="s">
        <v>45</v>
      </c>
      <c r="B16" s="31" t="s">
        <v>46</v>
      </c>
      <c r="C16" s="30" t="s">
        <v>36</v>
      </c>
      <c r="D16" s="32">
        <f>SUM(D32:D40)-D17</f>
        <v>4</v>
      </c>
      <c r="E16" s="152"/>
      <c r="F16" s="29">
        <f t="shared" si="0"/>
        <v>0</v>
      </c>
      <c r="G16" s="33">
        <v>0</v>
      </c>
      <c r="H16" s="33">
        <f t="shared" si="1"/>
        <v>0</v>
      </c>
    </row>
    <row r="17" spans="1:8" s="25" customFormat="1" ht="39" customHeight="1">
      <c r="A17" s="30" t="s">
        <v>47</v>
      </c>
      <c r="B17" s="31" t="s">
        <v>48</v>
      </c>
      <c r="C17" s="30" t="s">
        <v>36</v>
      </c>
      <c r="D17" s="32">
        <f>SUM(24+26+19+33+20)</f>
        <v>122</v>
      </c>
      <c r="E17" s="152"/>
      <c r="F17" s="29">
        <f t="shared" si="0"/>
        <v>0</v>
      </c>
      <c r="G17" s="33">
        <v>0</v>
      </c>
      <c r="H17" s="33">
        <f t="shared" si="1"/>
        <v>0</v>
      </c>
    </row>
    <row r="18" spans="1:8" s="25" customFormat="1" ht="25.5">
      <c r="A18" s="30" t="s">
        <v>232</v>
      </c>
      <c r="B18" s="31" t="s">
        <v>275</v>
      </c>
      <c r="C18" s="30" t="s">
        <v>36</v>
      </c>
      <c r="D18" s="32">
        <f>D9</f>
        <v>1</v>
      </c>
      <c r="E18" s="152"/>
      <c r="F18" s="29">
        <f t="shared" si="0"/>
        <v>0</v>
      </c>
      <c r="G18" s="33">
        <v>0</v>
      </c>
      <c r="H18" s="33">
        <f t="shared" si="1"/>
        <v>0</v>
      </c>
    </row>
    <row r="19" spans="1:8" s="25" customFormat="1" ht="12.75">
      <c r="A19" s="30" t="s">
        <v>233</v>
      </c>
      <c r="B19" s="31" t="s">
        <v>276</v>
      </c>
      <c r="C19" s="30" t="s">
        <v>36</v>
      </c>
      <c r="D19" s="32">
        <f>D18</f>
        <v>1</v>
      </c>
      <c r="E19" s="152"/>
      <c r="F19" s="29">
        <f t="shared" si="0"/>
        <v>0</v>
      </c>
      <c r="G19" s="33">
        <v>5E-05</v>
      </c>
      <c r="H19" s="33">
        <f t="shared" si="1"/>
        <v>5E-05</v>
      </c>
    </row>
    <row r="20" spans="1:8" s="25" customFormat="1" ht="25.5">
      <c r="A20" s="30" t="s">
        <v>37</v>
      </c>
      <c r="B20" s="31" t="s">
        <v>235</v>
      </c>
      <c r="C20" s="30" t="s">
        <v>36</v>
      </c>
      <c r="D20" s="32">
        <f>D18</f>
        <v>1</v>
      </c>
      <c r="E20" s="152"/>
      <c r="F20" s="29">
        <f t="shared" si="0"/>
        <v>0</v>
      </c>
      <c r="G20" s="33">
        <v>0.002</v>
      </c>
      <c r="H20" s="33">
        <f t="shared" si="1"/>
        <v>0.002</v>
      </c>
    </row>
    <row r="21" spans="1:8" s="25" customFormat="1" ht="25.5">
      <c r="A21" s="30" t="s">
        <v>234</v>
      </c>
      <c r="B21" s="31" t="s">
        <v>277</v>
      </c>
      <c r="C21" s="30" t="s">
        <v>36</v>
      </c>
      <c r="D21" s="32">
        <f>D18</f>
        <v>1</v>
      </c>
      <c r="E21" s="152"/>
      <c r="F21" s="29">
        <f t="shared" si="0"/>
        <v>0</v>
      </c>
      <c r="G21" s="33">
        <v>0</v>
      </c>
      <c r="H21" s="33">
        <f t="shared" si="1"/>
        <v>0</v>
      </c>
    </row>
    <row r="22" spans="1:8" s="25" customFormat="1" ht="38.25">
      <c r="A22" s="30" t="s">
        <v>49</v>
      </c>
      <c r="B22" s="34" t="s">
        <v>50</v>
      </c>
      <c r="C22" s="30" t="s">
        <v>40</v>
      </c>
      <c r="D22" s="32">
        <f>D12+D13</f>
        <v>210</v>
      </c>
      <c r="E22" s="152"/>
      <c r="F22" s="29">
        <f t="shared" si="0"/>
        <v>0</v>
      </c>
      <c r="G22" s="33">
        <v>0</v>
      </c>
      <c r="H22" s="33">
        <f t="shared" si="1"/>
        <v>0</v>
      </c>
    </row>
    <row r="23" spans="1:8" s="25" customFormat="1" ht="52.5">
      <c r="A23" s="30" t="s">
        <v>37</v>
      </c>
      <c r="B23" s="34" t="s">
        <v>224</v>
      </c>
      <c r="C23" s="35" t="s">
        <v>51</v>
      </c>
      <c r="D23" s="36">
        <f>6.2*1.8*0.15</f>
        <v>1.674</v>
      </c>
      <c r="E23" s="152"/>
      <c r="F23" s="29">
        <f t="shared" si="0"/>
        <v>0</v>
      </c>
      <c r="G23" s="33">
        <v>0</v>
      </c>
      <c r="H23" s="33">
        <f t="shared" si="1"/>
        <v>0</v>
      </c>
    </row>
    <row r="24" spans="1:8" s="25" customFormat="1" ht="38.25">
      <c r="A24" s="30" t="s">
        <v>249</v>
      </c>
      <c r="B24" s="34" t="s">
        <v>278</v>
      </c>
      <c r="C24" s="30" t="s">
        <v>40</v>
      </c>
      <c r="D24" s="36">
        <f>D13</f>
        <v>28</v>
      </c>
      <c r="E24" s="152"/>
      <c r="F24" s="29">
        <f t="shared" si="0"/>
        <v>0</v>
      </c>
      <c r="G24" s="33">
        <v>0</v>
      </c>
      <c r="H24" s="33">
        <f t="shared" si="1"/>
        <v>0</v>
      </c>
    </row>
    <row r="25" spans="1:8" s="25" customFormat="1" ht="25.5">
      <c r="A25" s="30" t="s">
        <v>37</v>
      </c>
      <c r="B25" s="31" t="s">
        <v>52</v>
      </c>
      <c r="C25" s="30" t="s">
        <v>40</v>
      </c>
      <c r="D25" s="32">
        <f>SUM(D12:D13)</f>
        <v>210</v>
      </c>
      <c r="E25" s="152"/>
      <c r="F25" s="29">
        <f t="shared" si="0"/>
        <v>0</v>
      </c>
      <c r="G25" s="33">
        <v>0.003</v>
      </c>
      <c r="H25" s="33">
        <f t="shared" si="1"/>
        <v>0.63</v>
      </c>
    </row>
    <row r="26" spans="1:8" s="25" customFormat="1" ht="41.25">
      <c r="A26" s="30" t="s">
        <v>236</v>
      </c>
      <c r="B26" s="31" t="s">
        <v>279</v>
      </c>
      <c r="C26" s="30" t="s">
        <v>51</v>
      </c>
      <c r="D26" s="30">
        <f>(D18*0.05)+((SUM(D15:D17))*0.02)+(D14*0.01)</f>
        <v>16.77</v>
      </c>
      <c r="E26" s="152"/>
      <c r="F26" s="29">
        <f t="shared" si="0"/>
        <v>0</v>
      </c>
      <c r="G26" s="33">
        <v>0</v>
      </c>
      <c r="H26" s="33">
        <f t="shared" si="1"/>
        <v>0</v>
      </c>
    </row>
    <row r="27" spans="1:8" s="25" customFormat="1" ht="25.5">
      <c r="A27" s="76" t="s">
        <v>166</v>
      </c>
      <c r="B27" s="34" t="s">
        <v>192</v>
      </c>
      <c r="C27" s="35" t="s">
        <v>32</v>
      </c>
      <c r="D27" s="84">
        <f>H88</f>
        <v>23.613555</v>
      </c>
      <c r="E27" s="151"/>
      <c r="F27" s="29">
        <f t="shared" si="0"/>
        <v>0</v>
      </c>
      <c r="G27" s="33">
        <v>0</v>
      </c>
      <c r="H27" s="33"/>
    </row>
    <row r="28" spans="1:8" s="37" customFormat="1" ht="12.75">
      <c r="A28" s="76"/>
      <c r="B28" s="34"/>
      <c r="C28" s="35"/>
      <c r="D28" s="128"/>
      <c r="E28" s="151"/>
      <c r="F28" s="29"/>
      <c r="G28" s="33"/>
      <c r="H28" s="33"/>
    </row>
    <row r="29" spans="1:8" s="25" customFormat="1" ht="12.75">
      <c r="A29" s="38" t="s">
        <v>53</v>
      </c>
      <c r="B29" s="39"/>
      <c r="C29" s="40"/>
      <c r="D29" s="41"/>
      <c r="E29" s="153"/>
      <c r="F29" s="42">
        <f>SUM(F5:F27)</f>
        <v>0</v>
      </c>
      <c r="G29" s="43"/>
      <c r="H29" s="44">
        <f>SUM(H5:H25)</f>
        <v>0.63205</v>
      </c>
    </row>
    <row r="30" spans="1:8" s="37" customFormat="1" ht="12.75">
      <c r="A30" s="26"/>
      <c r="B30" s="113"/>
      <c r="C30" s="26"/>
      <c r="D30" s="28"/>
      <c r="E30" s="150"/>
      <c r="F30" s="70"/>
      <c r="G30" s="28"/>
      <c r="H30" s="129"/>
    </row>
    <row r="31" spans="1:8" s="25" customFormat="1" ht="12.75">
      <c r="A31" s="38" t="s">
        <v>54</v>
      </c>
      <c r="B31" s="45"/>
      <c r="C31" s="46"/>
      <c r="D31" s="47"/>
      <c r="E31" s="154"/>
      <c r="F31" s="48"/>
      <c r="G31" s="49"/>
      <c r="H31" s="49"/>
    </row>
    <row r="32" spans="1:10" s="37" customFormat="1" ht="12.75">
      <c r="A32" s="51"/>
      <c r="B32" s="50" t="s">
        <v>55</v>
      </c>
      <c r="C32" s="35"/>
      <c r="D32" s="130"/>
      <c r="E32" s="151"/>
      <c r="F32" s="29"/>
      <c r="G32" s="33"/>
      <c r="H32" s="33"/>
      <c r="J32" s="118"/>
    </row>
    <row r="33" spans="1:10" s="25" customFormat="1" ht="25.5">
      <c r="A33" s="51">
        <v>1</v>
      </c>
      <c r="B33" s="52" t="s">
        <v>56</v>
      </c>
      <c r="C33" s="35" t="s">
        <v>57</v>
      </c>
      <c r="D33" s="32">
        <v>2</v>
      </c>
      <c r="E33" s="151"/>
      <c r="F33" s="29">
        <f aca="true" t="shared" si="2" ref="F33:F40">D33*E33</f>
        <v>0</v>
      </c>
      <c r="G33" s="33">
        <v>0.0015</v>
      </c>
      <c r="H33" s="33">
        <f aca="true" t="shared" si="3" ref="H33:H40">G33*D33</f>
        <v>0.003</v>
      </c>
      <c r="J33" s="115"/>
    </row>
    <row r="34" spans="1:8" s="25" customFormat="1" ht="38.25">
      <c r="A34" s="51">
        <v>2</v>
      </c>
      <c r="B34" s="52" t="s">
        <v>58</v>
      </c>
      <c r="C34" s="35" t="s">
        <v>57</v>
      </c>
      <c r="D34" s="32">
        <v>19</v>
      </c>
      <c r="E34" s="151"/>
      <c r="F34" s="29">
        <f t="shared" si="2"/>
        <v>0</v>
      </c>
      <c r="G34" s="33">
        <v>0.0015</v>
      </c>
      <c r="H34" s="33">
        <f t="shared" si="3"/>
        <v>0.0285</v>
      </c>
    </row>
    <row r="35" spans="1:8" s="25" customFormat="1" ht="38.25">
      <c r="A35" s="51">
        <v>3</v>
      </c>
      <c r="B35" s="52" t="s">
        <v>59</v>
      </c>
      <c r="C35" s="35" t="s">
        <v>57</v>
      </c>
      <c r="D35" s="32">
        <v>1</v>
      </c>
      <c r="E35" s="151"/>
      <c r="F35" s="29">
        <f t="shared" si="2"/>
        <v>0</v>
      </c>
      <c r="G35" s="33">
        <v>0.0015</v>
      </c>
      <c r="H35" s="33">
        <f t="shared" si="3"/>
        <v>0.0015</v>
      </c>
    </row>
    <row r="36" spans="1:8" s="25" customFormat="1" ht="38.25">
      <c r="A36" s="51">
        <v>4</v>
      </c>
      <c r="B36" s="52" t="s">
        <v>60</v>
      </c>
      <c r="C36" s="35" t="s">
        <v>57</v>
      </c>
      <c r="D36" s="32">
        <v>26</v>
      </c>
      <c r="E36" s="151"/>
      <c r="F36" s="29">
        <f t="shared" si="2"/>
        <v>0</v>
      </c>
      <c r="G36" s="33">
        <v>0.0015</v>
      </c>
      <c r="H36" s="33">
        <f t="shared" si="3"/>
        <v>0.039</v>
      </c>
    </row>
    <row r="37" spans="1:8" s="25" customFormat="1" ht="38.25">
      <c r="A37" s="51">
        <v>5</v>
      </c>
      <c r="B37" s="52" t="s">
        <v>61</v>
      </c>
      <c r="C37" s="35" t="s">
        <v>57</v>
      </c>
      <c r="D37" s="32">
        <v>33</v>
      </c>
      <c r="E37" s="151"/>
      <c r="F37" s="29">
        <f t="shared" si="2"/>
        <v>0</v>
      </c>
      <c r="G37" s="33">
        <v>0.0015</v>
      </c>
      <c r="H37" s="33">
        <f t="shared" si="3"/>
        <v>0.0495</v>
      </c>
    </row>
    <row r="38" spans="1:8" s="25" customFormat="1" ht="25.5">
      <c r="A38" s="51">
        <v>6</v>
      </c>
      <c r="B38" s="52" t="s">
        <v>62</v>
      </c>
      <c r="C38" s="35" t="s">
        <v>57</v>
      </c>
      <c r="D38" s="32">
        <v>20</v>
      </c>
      <c r="E38" s="151"/>
      <c r="F38" s="29">
        <f t="shared" si="2"/>
        <v>0</v>
      </c>
      <c r="G38" s="33">
        <v>0.0015</v>
      </c>
      <c r="H38" s="33">
        <f t="shared" si="3"/>
        <v>0.03</v>
      </c>
    </row>
    <row r="39" spans="1:8" s="25" customFormat="1" ht="38.25">
      <c r="A39" s="51">
        <v>7</v>
      </c>
      <c r="B39" s="52" t="s">
        <v>63</v>
      </c>
      <c r="C39" s="35" t="s">
        <v>57</v>
      </c>
      <c r="D39" s="32">
        <v>24</v>
      </c>
      <c r="E39" s="151"/>
      <c r="F39" s="29">
        <f t="shared" si="2"/>
        <v>0</v>
      </c>
      <c r="G39" s="33">
        <v>0.0015</v>
      </c>
      <c r="H39" s="33">
        <f t="shared" si="3"/>
        <v>0.036000000000000004</v>
      </c>
    </row>
    <row r="40" spans="1:8" s="25" customFormat="1" ht="25.5">
      <c r="A40" s="51">
        <v>8</v>
      </c>
      <c r="B40" s="52" t="s">
        <v>64</v>
      </c>
      <c r="C40" s="35" t="s">
        <v>57</v>
      </c>
      <c r="D40" s="32">
        <v>1</v>
      </c>
      <c r="E40" s="151"/>
      <c r="F40" s="29">
        <f t="shared" si="2"/>
        <v>0</v>
      </c>
      <c r="G40" s="33">
        <v>0.0015</v>
      </c>
      <c r="H40" s="33">
        <f t="shared" si="3"/>
        <v>0.0015</v>
      </c>
    </row>
    <row r="41" spans="1:10" s="37" customFormat="1" ht="12.75">
      <c r="A41" s="51"/>
      <c r="B41" s="50" t="s">
        <v>65</v>
      </c>
      <c r="C41" s="35"/>
      <c r="D41" s="32"/>
      <c r="E41" s="151"/>
      <c r="F41" s="29"/>
      <c r="G41" s="33"/>
      <c r="H41" s="33"/>
      <c r="J41" s="118"/>
    </row>
    <row r="42" spans="1:8" s="25" customFormat="1" ht="25.5">
      <c r="A42" s="51">
        <v>9</v>
      </c>
      <c r="B42" s="52" t="s">
        <v>223</v>
      </c>
      <c r="C42" s="35" t="s">
        <v>57</v>
      </c>
      <c r="D42" s="32">
        <v>105</v>
      </c>
      <c r="E42" s="151"/>
      <c r="F42" s="29">
        <f>D42*E42</f>
        <v>0</v>
      </c>
      <c r="G42" s="33">
        <v>0.003</v>
      </c>
      <c r="H42" s="33">
        <f>G42*D42</f>
        <v>0.315</v>
      </c>
    </row>
    <row r="43" spans="1:8" s="25" customFormat="1" ht="12.75">
      <c r="A43" s="51">
        <v>10</v>
      </c>
      <c r="B43" s="52" t="s">
        <v>66</v>
      </c>
      <c r="C43" s="35" t="s">
        <v>57</v>
      </c>
      <c r="D43" s="32">
        <v>12</v>
      </c>
      <c r="E43" s="151"/>
      <c r="F43" s="29">
        <f>D43*E43</f>
        <v>0</v>
      </c>
      <c r="G43" s="33">
        <v>0.0035</v>
      </c>
      <c r="H43" s="33">
        <f>G43*D43</f>
        <v>0.042</v>
      </c>
    </row>
    <row r="44" spans="1:10" s="37" customFormat="1" ht="12.75">
      <c r="A44" s="51"/>
      <c r="B44" s="50" t="s">
        <v>67</v>
      </c>
      <c r="C44" s="35"/>
      <c r="D44" s="32"/>
      <c r="E44" s="151"/>
      <c r="F44" s="29"/>
      <c r="G44" s="33"/>
      <c r="H44" s="33"/>
      <c r="J44" s="118"/>
    </row>
    <row r="45" spans="1:8" s="25" customFormat="1" ht="25.5">
      <c r="A45" s="51">
        <v>11</v>
      </c>
      <c r="B45" s="52" t="s">
        <v>68</v>
      </c>
      <c r="C45" s="35" t="s">
        <v>57</v>
      </c>
      <c r="D45" s="32">
        <v>408</v>
      </c>
      <c r="E45" s="151"/>
      <c r="F45" s="29">
        <f>D45*E45</f>
        <v>0</v>
      </c>
      <c r="G45" s="33">
        <v>0.0005</v>
      </c>
      <c r="H45" s="33">
        <f>G45*D45</f>
        <v>0.20400000000000001</v>
      </c>
    </row>
    <row r="46" spans="1:8" s="25" customFormat="1" ht="12.75">
      <c r="A46" s="51">
        <v>12</v>
      </c>
      <c r="B46" s="52" t="s">
        <v>69</v>
      </c>
      <c r="C46" s="35" t="s">
        <v>57</v>
      </c>
      <c r="D46" s="32">
        <v>640</v>
      </c>
      <c r="E46" s="151"/>
      <c r="F46" s="29">
        <f>D46*E46</f>
        <v>0</v>
      </c>
      <c r="G46" s="33">
        <v>0.0004</v>
      </c>
      <c r="H46" s="33">
        <f>G46*D46</f>
        <v>0.256</v>
      </c>
    </row>
    <row r="47" spans="1:10" s="37" customFormat="1" ht="12.75">
      <c r="A47" s="51"/>
      <c r="B47" s="50" t="s">
        <v>70</v>
      </c>
      <c r="C47" s="35"/>
      <c r="D47" s="32"/>
      <c r="E47" s="151"/>
      <c r="F47" s="29"/>
      <c r="G47" s="33"/>
      <c r="H47" s="33"/>
      <c r="J47" s="118"/>
    </row>
    <row r="48" spans="1:8" s="25" customFormat="1" ht="12.75">
      <c r="A48" s="51">
        <v>13</v>
      </c>
      <c r="B48" s="53" t="s">
        <v>71</v>
      </c>
      <c r="C48" s="35" t="s">
        <v>57</v>
      </c>
      <c r="D48" s="32">
        <v>2</v>
      </c>
      <c r="E48" s="151"/>
      <c r="F48" s="29">
        <f aca="true" t="shared" si="4" ref="F48:F53">D48*E48</f>
        <v>0</v>
      </c>
      <c r="G48" s="33">
        <v>0.0004</v>
      </c>
      <c r="H48" s="33">
        <f aca="true" t="shared" si="5" ref="H48:H53">G48*D48</f>
        <v>0.0008</v>
      </c>
    </row>
    <row r="49" spans="1:8" s="25" customFormat="1" ht="12.75">
      <c r="A49" s="51">
        <v>14</v>
      </c>
      <c r="B49" s="53" t="s">
        <v>72</v>
      </c>
      <c r="C49" s="35" t="s">
        <v>57</v>
      </c>
      <c r="D49" s="32">
        <v>2</v>
      </c>
      <c r="E49" s="151"/>
      <c r="F49" s="29">
        <f t="shared" si="4"/>
        <v>0</v>
      </c>
      <c r="G49" s="33">
        <v>0.002</v>
      </c>
      <c r="H49" s="33">
        <f t="shared" si="5"/>
        <v>0.004</v>
      </c>
    </row>
    <row r="50" spans="1:8" s="25" customFormat="1" ht="25.5">
      <c r="A50" s="51">
        <v>15</v>
      </c>
      <c r="B50" s="52" t="s">
        <v>73</v>
      </c>
      <c r="C50" s="35" t="s">
        <v>57</v>
      </c>
      <c r="D50" s="32">
        <v>4</v>
      </c>
      <c r="E50" s="151"/>
      <c r="F50" s="29">
        <f t="shared" si="4"/>
        <v>0</v>
      </c>
      <c r="G50" s="33">
        <v>0.003</v>
      </c>
      <c r="H50" s="33">
        <f t="shared" si="5"/>
        <v>0.012</v>
      </c>
    </row>
    <row r="51" spans="1:8" s="25" customFormat="1" ht="25.5">
      <c r="A51" s="51">
        <v>16</v>
      </c>
      <c r="B51" s="52" t="s">
        <v>74</v>
      </c>
      <c r="C51" s="35" t="s">
        <v>57</v>
      </c>
      <c r="D51" s="32">
        <v>4</v>
      </c>
      <c r="E51" s="151"/>
      <c r="F51" s="29">
        <f t="shared" si="4"/>
        <v>0</v>
      </c>
      <c r="G51" s="33">
        <v>0.003</v>
      </c>
      <c r="H51" s="33">
        <f t="shared" si="5"/>
        <v>0.012</v>
      </c>
    </row>
    <row r="52" spans="1:8" s="25" customFormat="1" ht="12.75">
      <c r="A52" s="51">
        <v>17</v>
      </c>
      <c r="B52" s="52" t="s">
        <v>75</v>
      </c>
      <c r="C52" s="35" t="s">
        <v>57</v>
      </c>
      <c r="D52" s="32">
        <v>3</v>
      </c>
      <c r="E52" s="151"/>
      <c r="F52" s="29">
        <f t="shared" si="4"/>
        <v>0</v>
      </c>
      <c r="G52" s="33">
        <v>0.003</v>
      </c>
      <c r="H52" s="33">
        <f t="shared" si="5"/>
        <v>0.009000000000000001</v>
      </c>
    </row>
    <row r="53" spans="1:8" s="25" customFormat="1" ht="25.5">
      <c r="A53" s="51">
        <v>18</v>
      </c>
      <c r="B53" s="52" t="s">
        <v>76</v>
      </c>
      <c r="C53" s="35" t="s">
        <v>57</v>
      </c>
      <c r="D53" s="32">
        <v>1</v>
      </c>
      <c r="E53" s="151"/>
      <c r="F53" s="29">
        <f t="shared" si="4"/>
        <v>0</v>
      </c>
      <c r="G53" s="33">
        <v>0.003</v>
      </c>
      <c r="H53" s="33">
        <f t="shared" si="5"/>
        <v>0.003</v>
      </c>
    </row>
    <row r="54" spans="1:38" s="56" customFormat="1" ht="12.75">
      <c r="A54" s="51"/>
      <c r="B54" s="50" t="s">
        <v>77</v>
      </c>
      <c r="C54" s="35"/>
      <c r="D54" s="32"/>
      <c r="E54" s="151"/>
      <c r="F54" s="29"/>
      <c r="G54" s="33"/>
      <c r="H54" s="33"/>
      <c r="I54" s="54"/>
      <c r="J54" s="118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5"/>
    </row>
    <row r="55" spans="1:8" s="25" customFormat="1" ht="25.5">
      <c r="A55" s="51">
        <v>19</v>
      </c>
      <c r="B55" s="52" t="s">
        <v>78</v>
      </c>
      <c r="C55" s="35" t="s">
        <v>57</v>
      </c>
      <c r="D55" s="32">
        <v>5</v>
      </c>
      <c r="E55" s="151"/>
      <c r="F55" s="29">
        <f>D55*E55</f>
        <v>0</v>
      </c>
      <c r="G55" s="33">
        <v>0.0015</v>
      </c>
      <c r="H55" s="33">
        <f>G55*D55</f>
        <v>0.0075</v>
      </c>
    </row>
    <row r="56" spans="1:8" s="25" customFormat="1" ht="25.5">
      <c r="A56" s="51">
        <v>20</v>
      </c>
      <c r="B56" s="52" t="s">
        <v>79</v>
      </c>
      <c r="C56" s="35" t="s">
        <v>57</v>
      </c>
      <c r="D56" s="32">
        <v>2</v>
      </c>
      <c r="E56" s="151"/>
      <c r="F56" s="29">
        <f>D56*E56</f>
        <v>0</v>
      </c>
      <c r="G56" s="33">
        <v>0.002</v>
      </c>
      <c r="H56" s="33">
        <f>G56*D56</f>
        <v>0.004</v>
      </c>
    </row>
    <row r="57" spans="1:8" s="25" customFormat="1" ht="25.5">
      <c r="A57" s="51">
        <v>21</v>
      </c>
      <c r="B57" s="52" t="s">
        <v>80</v>
      </c>
      <c r="C57" s="35" t="s">
        <v>57</v>
      </c>
      <c r="D57" s="32">
        <v>2</v>
      </c>
      <c r="E57" s="151"/>
      <c r="F57" s="29">
        <f>D57*E57</f>
        <v>0</v>
      </c>
      <c r="G57" s="33">
        <v>0.002</v>
      </c>
      <c r="H57" s="33">
        <f>G57*D57</f>
        <v>0.004</v>
      </c>
    </row>
    <row r="58" spans="1:8" s="25" customFormat="1" ht="12.75">
      <c r="A58" s="51">
        <v>22</v>
      </c>
      <c r="B58" s="52" t="s">
        <v>81</v>
      </c>
      <c r="C58" s="35" t="s">
        <v>57</v>
      </c>
      <c r="D58" s="32">
        <v>3</v>
      </c>
      <c r="E58" s="151"/>
      <c r="F58" s="29">
        <f>D58*E58</f>
        <v>0</v>
      </c>
      <c r="G58" s="33">
        <v>0.005</v>
      </c>
      <c r="H58" s="33">
        <f>G58*D58</f>
        <v>0.015</v>
      </c>
    </row>
    <row r="59" spans="1:10" s="37" customFormat="1" ht="12.75">
      <c r="A59" s="131"/>
      <c r="B59" s="50" t="s">
        <v>82</v>
      </c>
      <c r="C59" s="132"/>
      <c r="D59" s="133"/>
      <c r="E59" s="155"/>
      <c r="F59" s="134"/>
      <c r="G59" s="135"/>
      <c r="H59" s="33"/>
      <c r="J59" s="118"/>
    </row>
    <row r="60" spans="1:8" s="25" customFormat="1" ht="12.75">
      <c r="A60" s="51">
        <v>23</v>
      </c>
      <c r="B60" s="52" t="s">
        <v>83</v>
      </c>
      <c r="C60" s="35" t="s">
        <v>57</v>
      </c>
      <c r="D60" s="32">
        <v>4</v>
      </c>
      <c r="E60" s="151"/>
      <c r="F60" s="29">
        <f aca="true" t="shared" si="6" ref="F60:F71">D60*E60</f>
        <v>0</v>
      </c>
      <c r="G60" s="33">
        <v>0.004</v>
      </c>
      <c r="H60" s="33">
        <f aca="true" t="shared" si="7" ref="H60:H71">G60*D60</f>
        <v>0.016</v>
      </c>
    </row>
    <row r="61" spans="1:8" s="25" customFormat="1" ht="12.75">
      <c r="A61" s="51">
        <v>24</v>
      </c>
      <c r="B61" s="52" t="s">
        <v>84</v>
      </c>
      <c r="C61" s="35" t="s">
        <v>57</v>
      </c>
      <c r="D61" s="32">
        <v>4</v>
      </c>
      <c r="E61" s="151"/>
      <c r="F61" s="29">
        <f t="shared" si="6"/>
        <v>0</v>
      </c>
      <c r="G61" s="33">
        <v>0.004</v>
      </c>
      <c r="H61" s="33">
        <f t="shared" si="7"/>
        <v>0.016</v>
      </c>
    </row>
    <row r="62" spans="1:8" s="25" customFormat="1" ht="12.75">
      <c r="A62" s="51">
        <v>25</v>
      </c>
      <c r="B62" s="52" t="s">
        <v>85</v>
      </c>
      <c r="C62" s="35" t="s">
        <v>57</v>
      </c>
      <c r="D62" s="32">
        <v>3</v>
      </c>
      <c r="E62" s="151"/>
      <c r="F62" s="29">
        <f t="shared" si="6"/>
        <v>0</v>
      </c>
      <c r="G62" s="33">
        <v>0.004</v>
      </c>
      <c r="H62" s="33">
        <f t="shared" si="7"/>
        <v>0.012</v>
      </c>
    </row>
    <row r="63" spans="1:8" s="25" customFormat="1" ht="25.5">
      <c r="A63" s="51">
        <v>26</v>
      </c>
      <c r="B63" s="52" t="s">
        <v>86</v>
      </c>
      <c r="C63" s="35" t="s">
        <v>57</v>
      </c>
      <c r="D63" s="32">
        <v>2</v>
      </c>
      <c r="E63" s="151"/>
      <c r="F63" s="29">
        <f t="shared" si="6"/>
        <v>0</v>
      </c>
      <c r="G63" s="33">
        <v>0.004</v>
      </c>
      <c r="H63" s="33">
        <f t="shared" si="7"/>
        <v>0.008</v>
      </c>
    </row>
    <row r="64" spans="1:8" s="25" customFormat="1" ht="14.25" customHeight="1">
      <c r="A64" s="51">
        <v>27</v>
      </c>
      <c r="B64" s="52" t="s">
        <v>87</v>
      </c>
      <c r="C64" s="35" t="s">
        <v>57</v>
      </c>
      <c r="D64" s="32">
        <v>2</v>
      </c>
      <c r="E64" s="151"/>
      <c r="F64" s="29">
        <f t="shared" si="6"/>
        <v>0</v>
      </c>
      <c r="G64" s="33">
        <v>0.0025</v>
      </c>
      <c r="H64" s="33">
        <f t="shared" si="7"/>
        <v>0.005</v>
      </c>
    </row>
    <row r="65" spans="1:8" s="25" customFormat="1" ht="25.5">
      <c r="A65" s="51">
        <v>28</v>
      </c>
      <c r="B65" s="52" t="s">
        <v>88</v>
      </c>
      <c r="C65" s="35" t="s">
        <v>57</v>
      </c>
      <c r="D65" s="32">
        <v>9</v>
      </c>
      <c r="E65" s="151"/>
      <c r="F65" s="29">
        <f t="shared" si="6"/>
        <v>0</v>
      </c>
      <c r="G65" s="33">
        <v>0.006</v>
      </c>
      <c r="H65" s="33">
        <f t="shared" si="7"/>
        <v>0.054</v>
      </c>
    </row>
    <row r="66" spans="1:8" s="25" customFormat="1" ht="25.5">
      <c r="A66" s="51">
        <v>29</v>
      </c>
      <c r="B66" s="52" t="s">
        <v>89</v>
      </c>
      <c r="C66" s="35" t="s">
        <v>57</v>
      </c>
      <c r="D66" s="32">
        <v>4</v>
      </c>
      <c r="E66" s="151"/>
      <c r="F66" s="29">
        <f t="shared" si="6"/>
        <v>0</v>
      </c>
      <c r="G66" s="33">
        <v>0.0015</v>
      </c>
      <c r="H66" s="33">
        <f t="shared" si="7"/>
        <v>0.006</v>
      </c>
    </row>
    <row r="67" spans="1:8" s="25" customFormat="1" ht="25.5">
      <c r="A67" s="51">
        <v>30</v>
      </c>
      <c r="B67" s="52" t="s">
        <v>90</v>
      </c>
      <c r="C67" s="35" t="s">
        <v>57</v>
      </c>
      <c r="D67" s="32">
        <v>3</v>
      </c>
      <c r="E67" s="151"/>
      <c r="F67" s="29">
        <f t="shared" si="6"/>
        <v>0</v>
      </c>
      <c r="G67" s="33">
        <v>0.0025</v>
      </c>
      <c r="H67" s="33">
        <f t="shared" si="7"/>
        <v>0.0075</v>
      </c>
    </row>
    <row r="68" spans="1:8" s="25" customFormat="1" ht="25.5">
      <c r="A68" s="51">
        <v>31</v>
      </c>
      <c r="B68" s="52" t="s">
        <v>91</v>
      </c>
      <c r="C68" s="35" t="s">
        <v>57</v>
      </c>
      <c r="D68" s="32">
        <v>2</v>
      </c>
      <c r="E68" s="151"/>
      <c r="F68" s="29">
        <f t="shared" si="6"/>
        <v>0</v>
      </c>
      <c r="G68" s="33">
        <v>0.002</v>
      </c>
      <c r="H68" s="33">
        <f t="shared" si="7"/>
        <v>0.004</v>
      </c>
    </row>
    <row r="69" spans="1:8" s="25" customFormat="1" ht="25.5">
      <c r="A69" s="51">
        <v>32</v>
      </c>
      <c r="B69" s="52" t="s">
        <v>92</v>
      </c>
      <c r="C69" s="35" t="s">
        <v>57</v>
      </c>
      <c r="D69" s="32">
        <v>1</v>
      </c>
      <c r="E69" s="151"/>
      <c r="F69" s="29">
        <f t="shared" si="6"/>
        <v>0</v>
      </c>
      <c r="G69" s="33">
        <v>0.002</v>
      </c>
      <c r="H69" s="33">
        <f t="shared" si="7"/>
        <v>0.002</v>
      </c>
    </row>
    <row r="70" spans="1:8" s="25" customFormat="1" ht="12.75">
      <c r="A70" s="51">
        <v>33</v>
      </c>
      <c r="B70" s="52" t="s">
        <v>93</v>
      </c>
      <c r="C70" s="35" t="s">
        <v>57</v>
      </c>
      <c r="D70" s="32">
        <v>4</v>
      </c>
      <c r="E70" s="151"/>
      <c r="F70" s="29">
        <f t="shared" si="6"/>
        <v>0</v>
      </c>
      <c r="G70" s="33">
        <v>0.004</v>
      </c>
      <c r="H70" s="33">
        <f t="shared" si="7"/>
        <v>0.016</v>
      </c>
    </row>
    <row r="71" spans="1:8" s="25" customFormat="1" ht="25.5">
      <c r="A71" s="51">
        <v>34</v>
      </c>
      <c r="B71" s="52" t="s">
        <v>94</v>
      </c>
      <c r="C71" s="35" t="s">
        <v>57</v>
      </c>
      <c r="D71" s="32">
        <v>3</v>
      </c>
      <c r="E71" s="151"/>
      <c r="F71" s="29">
        <f t="shared" si="6"/>
        <v>0</v>
      </c>
      <c r="G71" s="33">
        <v>0.004</v>
      </c>
      <c r="H71" s="33">
        <f t="shared" si="7"/>
        <v>0.012</v>
      </c>
    </row>
    <row r="72" spans="1:8" s="37" customFormat="1" ht="12.75">
      <c r="A72" s="131"/>
      <c r="B72" s="50" t="s">
        <v>213</v>
      </c>
      <c r="C72" s="132"/>
      <c r="D72" s="133"/>
      <c r="E72" s="155"/>
      <c r="F72" s="134"/>
      <c r="G72" s="135"/>
      <c r="H72" s="33"/>
    </row>
    <row r="73" spans="1:8" s="25" customFormat="1" ht="25.5">
      <c r="A73" s="51">
        <v>40</v>
      </c>
      <c r="B73" s="52" t="s">
        <v>215</v>
      </c>
      <c r="C73" s="35" t="s">
        <v>57</v>
      </c>
      <c r="D73" s="32">
        <v>1</v>
      </c>
      <c r="E73" s="151"/>
      <c r="F73" s="29">
        <f>D73*E73</f>
        <v>0</v>
      </c>
      <c r="G73" s="33">
        <v>0.01</v>
      </c>
      <c r="H73" s="33">
        <f>G73*D73</f>
        <v>0.01</v>
      </c>
    </row>
    <row r="74" spans="1:8" s="25" customFormat="1" ht="12.75">
      <c r="A74" s="51"/>
      <c r="B74" s="52"/>
      <c r="C74" s="35"/>
      <c r="D74" s="57"/>
      <c r="E74" s="151"/>
      <c r="F74" s="29"/>
      <c r="G74" s="33"/>
      <c r="H74" s="33"/>
    </row>
    <row r="75" spans="1:8" s="25" customFormat="1" ht="12.75">
      <c r="A75" s="58" t="s">
        <v>95</v>
      </c>
      <c r="B75" s="59"/>
      <c r="C75" s="60"/>
      <c r="D75" s="136"/>
      <c r="E75" s="156"/>
      <c r="F75" s="62">
        <f>SUM(F33:F74)</f>
        <v>0</v>
      </c>
      <c r="G75" s="63"/>
      <c r="H75" s="64">
        <f>SUM(H33:H74)</f>
        <v>1.2457999999999998</v>
      </c>
    </row>
    <row r="76" spans="1:8" s="25" customFormat="1" ht="12.75">
      <c r="A76" s="38" t="s">
        <v>96</v>
      </c>
      <c r="B76" s="39"/>
      <c r="C76" s="40"/>
      <c r="D76" s="41"/>
      <c r="E76" s="153"/>
      <c r="F76" s="42">
        <f>F75*1.03*1.25</f>
        <v>0</v>
      </c>
      <c r="G76" s="33"/>
      <c r="H76" s="33"/>
    </row>
    <row r="77" spans="1:8" s="37" customFormat="1" ht="12.75">
      <c r="A77" s="38"/>
      <c r="B77" s="39"/>
      <c r="C77" s="40"/>
      <c r="D77" s="41"/>
      <c r="E77" s="153"/>
      <c r="F77" s="42"/>
      <c r="G77" s="33"/>
      <c r="H77" s="33"/>
    </row>
    <row r="78" spans="1:8" s="65" customFormat="1" ht="12.75">
      <c r="A78" s="38" t="s">
        <v>97</v>
      </c>
      <c r="B78" s="45"/>
      <c r="C78" s="46"/>
      <c r="D78" s="47"/>
      <c r="E78" s="154"/>
      <c r="F78" s="48"/>
      <c r="G78" s="49"/>
      <c r="H78" s="49"/>
    </row>
    <row r="79" spans="1:8" s="65" customFormat="1" ht="12.75">
      <c r="A79" s="51"/>
      <c r="B79" s="34" t="s">
        <v>98</v>
      </c>
      <c r="C79" s="30" t="s">
        <v>99</v>
      </c>
      <c r="D79" s="30">
        <f>D22/10000*5</f>
        <v>0.10500000000000001</v>
      </c>
      <c r="E79" s="152"/>
      <c r="F79" s="66">
        <f>E79*D79</f>
        <v>0</v>
      </c>
      <c r="G79" s="33">
        <v>0.001</v>
      </c>
      <c r="H79" s="33">
        <f>D79*G79</f>
        <v>0.00010500000000000002</v>
      </c>
    </row>
    <row r="80" spans="1:8" s="25" customFormat="1" ht="14.25">
      <c r="A80" s="30"/>
      <c r="B80" s="31" t="s">
        <v>237</v>
      </c>
      <c r="C80" s="30" t="s">
        <v>51</v>
      </c>
      <c r="D80" s="30">
        <f>D26</f>
        <v>16.77</v>
      </c>
      <c r="E80" s="152"/>
      <c r="F80" s="29">
        <f>D80*E80</f>
        <v>0</v>
      </c>
      <c r="G80" s="33">
        <v>1</v>
      </c>
      <c r="H80" s="33">
        <f>D80*G80</f>
        <v>16.77</v>
      </c>
    </row>
    <row r="81" spans="1:8" s="25" customFormat="1" ht="38.25">
      <c r="A81" s="51"/>
      <c r="B81" s="31" t="s">
        <v>238</v>
      </c>
      <c r="C81" s="30" t="s">
        <v>36</v>
      </c>
      <c r="D81" s="30">
        <f>(D18*3)</f>
        <v>3</v>
      </c>
      <c r="E81" s="152"/>
      <c r="F81" s="66">
        <f>E81*D81</f>
        <v>0</v>
      </c>
      <c r="G81" s="33">
        <v>0.003</v>
      </c>
      <c r="H81" s="33">
        <f>D81*G81</f>
        <v>0.009000000000000001</v>
      </c>
    </row>
    <row r="82" spans="1:8" s="65" customFormat="1" ht="14.25">
      <c r="A82" s="51"/>
      <c r="B82" s="34" t="s">
        <v>100</v>
      </c>
      <c r="C82" s="35" t="s">
        <v>51</v>
      </c>
      <c r="D82" s="36">
        <f>(SUM(D60:D63))*0.125</f>
        <v>1.625</v>
      </c>
      <c r="E82" s="152"/>
      <c r="F82" s="67">
        <f>E82*D82</f>
        <v>0</v>
      </c>
      <c r="G82" s="33">
        <v>0.6</v>
      </c>
      <c r="H82" s="33">
        <f>D82*G82</f>
        <v>0.975</v>
      </c>
    </row>
    <row r="83" spans="1:8" s="25" customFormat="1" ht="38.25">
      <c r="A83" s="51"/>
      <c r="B83" s="34" t="s">
        <v>225</v>
      </c>
      <c r="C83" s="35" t="s">
        <v>51</v>
      </c>
      <c r="D83" s="36">
        <f>(SUM(D42:D43)*0.01)+D23</f>
        <v>2.844</v>
      </c>
      <c r="E83" s="151"/>
      <c r="F83" s="29">
        <f>D83*E83</f>
        <v>0</v>
      </c>
      <c r="G83" s="33">
        <v>1.4</v>
      </c>
      <c r="H83" s="33">
        <f>G83*D83</f>
        <v>3.9815999999999994</v>
      </c>
    </row>
    <row r="84" spans="1:8" s="25" customFormat="1" ht="12.75">
      <c r="A84" s="38" t="s">
        <v>101</v>
      </c>
      <c r="B84" s="39"/>
      <c r="C84" s="40"/>
      <c r="D84" s="41"/>
      <c r="E84" s="153"/>
      <c r="F84" s="68">
        <f>SUM(F79:F83)</f>
        <v>0</v>
      </c>
      <c r="G84" s="43"/>
      <c r="H84" s="64">
        <f>SUM(H79:H83)</f>
        <v>21.735705000000003</v>
      </c>
    </row>
    <row r="85" spans="1:8" s="25" customFormat="1" ht="12.75">
      <c r="A85" s="38" t="s">
        <v>102</v>
      </c>
      <c r="B85" s="39"/>
      <c r="C85" s="40"/>
      <c r="D85" s="41"/>
      <c r="E85" s="153"/>
      <c r="F85" s="42">
        <f>F84*1.02*1.25</f>
        <v>0</v>
      </c>
      <c r="G85" s="33"/>
      <c r="H85" s="33"/>
    </row>
    <row r="86" spans="1:8" s="25" customFormat="1" ht="25.5">
      <c r="A86" s="38"/>
      <c r="B86" s="137" t="s">
        <v>226</v>
      </c>
      <c r="C86" s="40"/>
      <c r="D86" s="41"/>
      <c r="E86" s="153"/>
      <c r="F86" s="42"/>
      <c r="G86" s="33"/>
      <c r="H86" s="33"/>
    </row>
    <row r="87" spans="1:8" s="25" customFormat="1" ht="12.75">
      <c r="A87" s="38"/>
      <c r="B87" s="39"/>
      <c r="C87" s="40"/>
      <c r="D87" s="41"/>
      <c r="E87" s="153"/>
      <c r="F87" s="42"/>
      <c r="G87" s="33"/>
      <c r="H87" s="33"/>
    </row>
    <row r="88" spans="1:8" s="25" customFormat="1" ht="12.75">
      <c r="A88" s="38" t="s">
        <v>103</v>
      </c>
      <c r="B88" s="39"/>
      <c r="C88" s="40"/>
      <c r="D88" s="41"/>
      <c r="E88" s="153"/>
      <c r="F88" s="42">
        <f>F29+F76+F85</f>
        <v>0</v>
      </c>
      <c r="G88" s="43"/>
      <c r="H88" s="43">
        <f>H75+H29+H84</f>
        <v>23.613555</v>
      </c>
    </row>
    <row r="89" spans="1:8" s="37" customFormat="1" ht="12.75">
      <c r="A89" s="38"/>
      <c r="B89" s="39"/>
      <c r="C89" s="40"/>
      <c r="D89" s="41"/>
      <c r="E89" s="153"/>
      <c r="F89" s="42"/>
      <c r="G89" s="43"/>
      <c r="H89" s="43"/>
    </row>
    <row r="90" spans="1:8" s="25" customFormat="1" ht="12.75">
      <c r="A90" s="38"/>
      <c r="B90" s="39"/>
      <c r="C90" s="40"/>
      <c r="D90" s="41"/>
      <c r="E90" s="153"/>
      <c r="F90" s="42"/>
      <c r="G90" s="43"/>
      <c r="H90" s="43"/>
    </row>
    <row r="91" spans="1:8" s="25" customFormat="1" ht="15">
      <c r="A91" s="38"/>
      <c r="B91" s="27" t="s">
        <v>121</v>
      </c>
      <c r="C91" s="40"/>
      <c r="D91" s="41"/>
      <c r="E91" s="153"/>
      <c r="F91" s="42"/>
      <c r="G91" s="33"/>
      <c r="H91" s="33"/>
    </row>
    <row r="92" spans="1:8" s="25" customFormat="1" ht="39.75">
      <c r="A92" s="30" t="s">
        <v>37</v>
      </c>
      <c r="B92" s="31" t="s">
        <v>280</v>
      </c>
      <c r="C92" s="30" t="s">
        <v>36</v>
      </c>
      <c r="D92" s="30">
        <v>1</v>
      </c>
      <c r="E92" s="152"/>
      <c r="F92" s="29">
        <f>D92*E92</f>
        <v>0</v>
      </c>
      <c r="G92" s="33">
        <v>0</v>
      </c>
      <c r="H92" s="33">
        <f>D92*G92</f>
        <v>0</v>
      </c>
    </row>
    <row r="93" spans="1:8" s="25" customFormat="1" ht="51">
      <c r="A93" s="30" t="s">
        <v>37</v>
      </c>
      <c r="B93" s="31" t="s">
        <v>251</v>
      </c>
      <c r="C93" s="30" t="s">
        <v>36</v>
      </c>
      <c r="D93" s="30">
        <v>4</v>
      </c>
      <c r="E93" s="152"/>
      <c r="F93" s="29">
        <f>D93*E93</f>
        <v>0</v>
      </c>
      <c r="G93" s="33">
        <v>0</v>
      </c>
      <c r="H93" s="33">
        <f>D93*G93</f>
        <v>0</v>
      </c>
    </row>
    <row r="94" spans="1:8" s="25" customFormat="1" ht="12.75">
      <c r="A94" s="72"/>
      <c r="B94" s="73"/>
      <c r="C94" s="72"/>
      <c r="D94" s="72"/>
      <c r="E94" s="157"/>
      <c r="F94" s="74"/>
      <c r="G94" s="75"/>
      <c r="H94" s="75"/>
    </row>
    <row r="95" spans="1:8" s="25" customFormat="1" ht="12.75">
      <c r="A95" s="38" t="s">
        <v>122</v>
      </c>
      <c r="B95" s="39"/>
      <c r="C95" s="40"/>
      <c r="D95" s="41"/>
      <c r="E95" s="153"/>
      <c r="F95" s="42">
        <f>SUM(F92:F93)</f>
        <v>0</v>
      </c>
      <c r="G95" s="43"/>
      <c r="H95" s="43">
        <f>SUM(H92:H93)</f>
        <v>0</v>
      </c>
    </row>
    <row r="96" spans="1:8" s="25" customFormat="1" ht="12.75">
      <c r="A96" s="72"/>
      <c r="B96" s="73"/>
      <c r="C96" s="72"/>
      <c r="D96" s="72"/>
      <c r="E96" s="157"/>
      <c r="F96" s="74"/>
      <c r="G96" s="75"/>
      <c r="H96" s="75"/>
    </row>
    <row r="97" spans="1:8" s="37" customFormat="1" ht="12.75">
      <c r="A97" s="21"/>
      <c r="B97" s="22"/>
      <c r="C97" s="23"/>
      <c r="D97" s="21"/>
      <c r="E97" s="149"/>
      <c r="F97" s="24"/>
      <c r="G97" s="24"/>
      <c r="H97" s="24"/>
    </row>
    <row r="98" spans="1:8" s="25" customFormat="1" ht="53.25">
      <c r="A98" s="76"/>
      <c r="B98" s="77" t="s">
        <v>123</v>
      </c>
      <c r="C98" s="78"/>
      <c r="D98" s="79"/>
      <c r="E98" s="158"/>
      <c r="F98" s="80"/>
      <c r="G98" s="33"/>
      <c r="H98" s="33"/>
    </row>
    <row r="99" spans="1:8" s="25" customFormat="1" ht="15">
      <c r="A99" s="76" t="s">
        <v>34</v>
      </c>
      <c r="B99" s="81"/>
      <c r="C99" s="20"/>
      <c r="D99" s="82"/>
      <c r="E99" s="159"/>
      <c r="F99" s="20"/>
      <c r="G99" s="20"/>
      <c r="H99" s="20"/>
    </row>
    <row r="100" spans="1:8" s="25" customFormat="1" ht="38.25">
      <c r="A100" s="76" t="s">
        <v>124</v>
      </c>
      <c r="B100" s="34" t="s">
        <v>125</v>
      </c>
      <c r="C100" s="30" t="s">
        <v>36</v>
      </c>
      <c r="D100" s="76">
        <v>2</v>
      </c>
      <c r="E100" s="151"/>
      <c r="F100" s="29">
        <f>D100*E100</f>
        <v>0</v>
      </c>
      <c r="G100" s="33">
        <v>0</v>
      </c>
      <c r="H100" s="33">
        <f>G100*D100</f>
        <v>0</v>
      </c>
    </row>
    <row r="101" spans="1:8" s="25" customFormat="1" ht="12.75">
      <c r="A101" s="76"/>
      <c r="B101" s="34"/>
      <c r="C101" s="30"/>
      <c r="D101" s="76"/>
      <c r="E101" s="151"/>
      <c r="F101" s="29"/>
      <c r="G101" s="33"/>
      <c r="H101" s="33"/>
    </row>
    <row r="102" spans="1:8" s="25" customFormat="1" ht="12.75">
      <c r="A102" s="38" t="s">
        <v>126</v>
      </c>
      <c r="B102" s="39"/>
      <c r="C102" s="40"/>
      <c r="D102" s="41"/>
      <c r="E102" s="153"/>
      <c r="F102" s="42">
        <f>SUM(F100:F100)</f>
        <v>0</v>
      </c>
      <c r="G102" s="43"/>
      <c r="H102" s="43">
        <f>SUM(H100:H100)</f>
        <v>0</v>
      </c>
    </row>
    <row r="103" spans="1:8" s="37" customFormat="1" ht="12.75">
      <c r="A103" s="76"/>
      <c r="B103" s="34"/>
      <c r="C103" s="30"/>
      <c r="D103" s="76"/>
      <c r="E103" s="151"/>
      <c r="F103" s="29"/>
      <c r="G103" s="33"/>
      <c r="H103" s="33"/>
    </row>
    <row r="104" spans="1:8" s="37" customFormat="1" ht="12.75">
      <c r="A104" s="20"/>
      <c r="B104" s="20"/>
      <c r="C104" s="20"/>
      <c r="D104" s="20"/>
      <c r="E104" s="159"/>
      <c r="F104" s="20"/>
      <c r="G104" s="20"/>
      <c r="H104" s="20"/>
    </row>
    <row r="105" spans="1:8" s="37" customFormat="1" ht="15">
      <c r="A105" s="26"/>
      <c r="B105" s="27" t="s">
        <v>127</v>
      </c>
      <c r="C105" s="26"/>
      <c r="D105" s="28"/>
      <c r="E105" s="150"/>
      <c r="F105" s="70"/>
      <c r="G105" s="28"/>
      <c r="H105" s="20"/>
    </row>
    <row r="106" spans="1:8" s="37" customFormat="1" ht="15">
      <c r="A106" s="26" t="s">
        <v>34</v>
      </c>
      <c r="B106" s="27"/>
      <c r="C106" s="26"/>
      <c r="D106" s="28"/>
      <c r="E106" s="150"/>
      <c r="F106" s="70"/>
      <c r="G106" s="28"/>
      <c r="H106" s="20"/>
    </row>
    <row r="107" spans="1:8" s="25" customFormat="1" ht="51">
      <c r="A107" s="30" t="s">
        <v>128</v>
      </c>
      <c r="B107" s="31" t="s">
        <v>212</v>
      </c>
      <c r="C107" s="30" t="s">
        <v>40</v>
      </c>
      <c r="D107" s="30">
        <f>8+63+54+48+25+45+3</f>
        <v>246</v>
      </c>
      <c r="E107" s="152"/>
      <c r="F107" s="29">
        <f aca="true" t="shared" si="8" ref="F107:F112">D107*E107</f>
        <v>0</v>
      </c>
      <c r="G107" s="33">
        <v>0</v>
      </c>
      <c r="H107" s="33">
        <f>D107*G107</f>
        <v>0</v>
      </c>
    </row>
    <row r="108" spans="1:8" s="25" customFormat="1" ht="25.5">
      <c r="A108" s="30" t="s">
        <v>129</v>
      </c>
      <c r="B108" s="31" t="s">
        <v>130</v>
      </c>
      <c r="C108" s="30" t="s">
        <v>40</v>
      </c>
      <c r="D108" s="30">
        <f>D107</f>
        <v>246</v>
      </c>
      <c r="E108" s="152"/>
      <c r="F108" s="29">
        <f t="shared" si="8"/>
        <v>0</v>
      </c>
      <c r="G108" s="33">
        <v>0</v>
      </c>
      <c r="H108" s="33">
        <f>D108*G108</f>
        <v>0</v>
      </c>
    </row>
    <row r="109" spans="1:8" s="25" customFormat="1" ht="25.5">
      <c r="A109" s="30" t="s">
        <v>131</v>
      </c>
      <c r="B109" s="31" t="s">
        <v>132</v>
      </c>
      <c r="C109" s="30" t="s">
        <v>40</v>
      </c>
      <c r="D109" s="30">
        <f>D108</f>
        <v>246</v>
      </c>
      <c r="E109" s="152"/>
      <c r="F109" s="29">
        <f t="shared" si="8"/>
        <v>0</v>
      </c>
      <c r="G109" s="33">
        <v>0</v>
      </c>
      <c r="H109" s="33">
        <f>D109*G109</f>
        <v>0</v>
      </c>
    </row>
    <row r="110" spans="1:8" s="25" customFormat="1" ht="25.5">
      <c r="A110" s="30" t="s">
        <v>133</v>
      </c>
      <c r="B110" s="31" t="s">
        <v>134</v>
      </c>
      <c r="C110" s="30" t="s">
        <v>40</v>
      </c>
      <c r="D110" s="30">
        <f>D108</f>
        <v>246</v>
      </c>
      <c r="E110" s="152"/>
      <c r="F110" s="29">
        <f t="shared" si="8"/>
        <v>0</v>
      </c>
      <c r="G110" s="33">
        <v>0</v>
      </c>
      <c r="H110" s="33">
        <f>D110*G110</f>
        <v>0</v>
      </c>
    </row>
    <row r="111" spans="1:8" s="25" customFormat="1" ht="25.5">
      <c r="A111" s="30" t="s">
        <v>133</v>
      </c>
      <c r="B111" s="31" t="s">
        <v>135</v>
      </c>
      <c r="C111" s="30" t="s">
        <v>40</v>
      </c>
      <c r="D111" s="30">
        <f>D108</f>
        <v>246</v>
      </c>
      <c r="E111" s="152"/>
      <c r="F111" s="29">
        <f t="shared" si="8"/>
        <v>0</v>
      </c>
      <c r="G111" s="33">
        <v>0</v>
      </c>
      <c r="H111" s="33">
        <f>D111*G111</f>
        <v>0</v>
      </c>
    </row>
    <row r="112" spans="1:8" s="25" customFormat="1" ht="25.5">
      <c r="A112" s="76" t="s">
        <v>166</v>
      </c>
      <c r="B112" s="34" t="s">
        <v>192</v>
      </c>
      <c r="C112" s="35" t="s">
        <v>32</v>
      </c>
      <c r="D112" s="84">
        <f>H121</f>
        <v>0.00369</v>
      </c>
      <c r="E112" s="151"/>
      <c r="F112" s="29">
        <f t="shared" si="8"/>
        <v>0</v>
      </c>
      <c r="G112" s="33">
        <v>0</v>
      </c>
      <c r="H112" s="33"/>
    </row>
    <row r="113" spans="1:8" s="37" customFormat="1" ht="12.75">
      <c r="A113" s="76"/>
      <c r="B113" s="34"/>
      <c r="C113" s="35"/>
      <c r="D113" s="128"/>
      <c r="E113" s="151"/>
      <c r="F113" s="29"/>
      <c r="G113" s="33"/>
      <c r="H113" s="33"/>
    </row>
    <row r="114" spans="1:8" s="25" customFormat="1" ht="12.75">
      <c r="A114" s="38" t="s">
        <v>136</v>
      </c>
      <c r="B114" s="39"/>
      <c r="C114" s="40"/>
      <c r="D114" s="41"/>
      <c r="E114" s="153"/>
      <c r="F114" s="42">
        <f>SUM(F107:F112)</f>
        <v>0</v>
      </c>
      <c r="G114" s="43"/>
      <c r="H114" s="64">
        <f>SUM(H107:H111)</f>
        <v>0</v>
      </c>
    </row>
    <row r="115" spans="1:8" s="37" customFormat="1" ht="12.75">
      <c r="A115" s="26"/>
      <c r="B115" s="113"/>
      <c r="C115" s="26"/>
      <c r="D115" s="28"/>
      <c r="E115" s="150"/>
      <c r="F115" s="70"/>
      <c r="G115" s="28"/>
      <c r="H115" s="129"/>
    </row>
    <row r="116" spans="1:8" s="65" customFormat="1" ht="12.75">
      <c r="A116" s="38" t="s">
        <v>137</v>
      </c>
      <c r="B116" s="45"/>
      <c r="C116" s="46"/>
      <c r="D116" s="47"/>
      <c r="E116" s="154"/>
      <c r="F116" s="48"/>
      <c r="G116" s="49"/>
      <c r="H116" s="49"/>
    </row>
    <row r="117" spans="1:8" s="25" customFormat="1" ht="12.75">
      <c r="A117" s="51"/>
      <c r="B117" s="31" t="s">
        <v>138</v>
      </c>
      <c r="C117" s="30" t="s">
        <v>139</v>
      </c>
      <c r="D117" s="30">
        <f>D111*0.015</f>
        <v>3.69</v>
      </c>
      <c r="E117" s="152"/>
      <c r="F117" s="66">
        <f>E117*D117</f>
        <v>0</v>
      </c>
      <c r="G117" s="33">
        <v>0.001</v>
      </c>
      <c r="H117" s="33">
        <f>D117*G117</f>
        <v>0.00369</v>
      </c>
    </row>
    <row r="118" spans="1:8" s="25" customFormat="1" ht="12.75">
      <c r="A118" s="38" t="s">
        <v>140</v>
      </c>
      <c r="B118" s="39"/>
      <c r="C118" s="40"/>
      <c r="D118" s="41"/>
      <c r="E118" s="153"/>
      <c r="F118" s="68">
        <f>SUM(F117:F117)</f>
        <v>0</v>
      </c>
      <c r="G118" s="43"/>
      <c r="H118" s="64">
        <f>SUM(H117:H117)</f>
        <v>0.00369</v>
      </c>
    </row>
    <row r="119" spans="1:8" s="25" customFormat="1" ht="12.75">
      <c r="A119" s="38" t="s">
        <v>141</v>
      </c>
      <c r="B119" s="39"/>
      <c r="C119" s="40"/>
      <c r="D119" s="41"/>
      <c r="E119" s="153"/>
      <c r="F119" s="42">
        <f>F118*1.03*1.25</f>
        <v>0</v>
      </c>
      <c r="G119" s="33"/>
      <c r="H119" s="33"/>
    </row>
    <row r="120" spans="1:8" s="25" customFormat="1" ht="12.75">
      <c r="A120" s="38"/>
      <c r="B120" s="39"/>
      <c r="C120" s="40"/>
      <c r="D120" s="41"/>
      <c r="E120" s="153"/>
      <c r="F120" s="42"/>
      <c r="G120" s="33"/>
      <c r="H120" s="33"/>
    </row>
    <row r="121" spans="1:8" s="25" customFormat="1" ht="12.75">
      <c r="A121" s="38" t="s">
        <v>142</v>
      </c>
      <c r="B121" s="39"/>
      <c r="C121" s="40"/>
      <c r="D121" s="41"/>
      <c r="E121" s="153"/>
      <c r="F121" s="42">
        <f>F114+F119</f>
        <v>0</v>
      </c>
      <c r="G121" s="43"/>
      <c r="H121" s="43">
        <f>H114+H118</f>
        <v>0.00369</v>
      </c>
    </row>
    <row r="122" spans="1:8" s="25" customFormat="1" ht="12.75">
      <c r="A122" s="58"/>
      <c r="B122" s="59"/>
      <c r="C122" s="60"/>
      <c r="D122" s="61"/>
      <c r="E122" s="156"/>
      <c r="F122" s="62"/>
      <c r="G122" s="63"/>
      <c r="H122" s="63"/>
    </row>
    <row r="123" spans="1:8" s="25" customFormat="1" ht="12.75">
      <c r="A123" s="58"/>
      <c r="B123" s="59"/>
      <c r="C123" s="60"/>
      <c r="D123" s="61"/>
      <c r="E123" s="156"/>
      <c r="F123" s="62"/>
      <c r="G123" s="63"/>
      <c r="H123" s="63"/>
    </row>
    <row r="124" spans="1:8" s="37" customFormat="1" ht="32.25" customHeight="1">
      <c r="A124" s="26"/>
      <c r="B124" s="27" t="s">
        <v>209</v>
      </c>
      <c r="C124" s="26"/>
      <c r="D124" s="28"/>
      <c r="E124" s="150"/>
      <c r="F124" s="70"/>
      <c r="G124" s="28"/>
      <c r="H124" s="20"/>
    </row>
    <row r="125" spans="1:8" s="25" customFormat="1" ht="12.75">
      <c r="A125" s="76" t="s">
        <v>167</v>
      </c>
      <c r="B125" s="20"/>
      <c r="C125" s="20"/>
      <c r="D125" s="20"/>
      <c r="E125" s="159"/>
      <c r="F125" s="20"/>
      <c r="G125" s="20"/>
      <c r="H125" s="20"/>
    </row>
    <row r="126" spans="1:10" s="25" customFormat="1" ht="51">
      <c r="A126" s="76" t="s">
        <v>217</v>
      </c>
      <c r="B126" s="34" t="s">
        <v>219</v>
      </c>
      <c r="C126" s="30" t="s">
        <v>51</v>
      </c>
      <c r="D126" s="91">
        <f>(D130*0.3)-D127</f>
        <v>7.34</v>
      </c>
      <c r="E126" s="151"/>
      <c r="F126" s="29">
        <f aca="true" t="shared" si="9" ref="F126">D126*E126</f>
        <v>0</v>
      </c>
      <c r="G126" s="33">
        <v>0</v>
      </c>
      <c r="H126" s="33">
        <f aca="true" t="shared" si="10" ref="H126">G126*D126</f>
        <v>0</v>
      </c>
      <c r="I126" s="92"/>
      <c r="J126" s="92"/>
    </row>
    <row r="127" spans="1:10" s="25" customFormat="1" ht="40.5" customHeight="1">
      <c r="A127" s="76" t="s">
        <v>218</v>
      </c>
      <c r="B127" s="34" t="s">
        <v>220</v>
      </c>
      <c r="C127" s="30" t="s">
        <v>51</v>
      </c>
      <c r="D127" s="91">
        <f>23*0.05</f>
        <v>1.1500000000000001</v>
      </c>
      <c r="E127" s="151"/>
      <c r="F127" s="29">
        <f aca="true" t="shared" si="11" ref="F127:F128">D127*E127</f>
        <v>0</v>
      </c>
      <c r="G127" s="33">
        <v>0</v>
      </c>
      <c r="H127" s="33">
        <f aca="true" t="shared" si="12" ref="H127:H128">G127*D127</f>
        <v>0</v>
      </c>
      <c r="I127" s="92"/>
      <c r="J127" s="92"/>
    </row>
    <row r="128" spans="1:10" s="25" customFormat="1" ht="25.5">
      <c r="A128" s="76" t="s">
        <v>168</v>
      </c>
      <c r="B128" s="34" t="s">
        <v>208</v>
      </c>
      <c r="C128" s="30" t="s">
        <v>40</v>
      </c>
      <c r="D128" s="76">
        <f>D130</f>
        <v>28.3</v>
      </c>
      <c r="E128" s="151"/>
      <c r="F128" s="29">
        <f t="shared" si="11"/>
        <v>0</v>
      </c>
      <c r="G128" s="33">
        <v>0</v>
      </c>
      <c r="H128" s="33">
        <f t="shared" si="12"/>
        <v>0</v>
      </c>
      <c r="I128" s="92"/>
      <c r="J128" s="92"/>
    </row>
    <row r="129" spans="1:8" s="37" customFormat="1" ht="15">
      <c r="A129" s="26" t="s">
        <v>169</v>
      </c>
      <c r="B129" s="27"/>
      <c r="C129" s="26"/>
      <c r="D129" s="28"/>
      <c r="E129" s="150"/>
      <c r="F129" s="70"/>
      <c r="G129" s="28"/>
      <c r="H129" s="20"/>
    </row>
    <row r="130" spans="1:10" s="25" customFormat="1" ht="25.5">
      <c r="A130" s="76" t="s">
        <v>170</v>
      </c>
      <c r="B130" s="34" t="s">
        <v>171</v>
      </c>
      <c r="C130" s="30" t="s">
        <v>40</v>
      </c>
      <c r="D130" s="76">
        <v>28.3</v>
      </c>
      <c r="E130" s="151"/>
      <c r="F130" s="29">
        <f aca="true" t="shared" si="13" ref="F130:F132">D130*E130</f>
        <v>0</v>
      </c>
      <c r="G130" s="33">
        <v>0.38626</v>
      </c>
      <c r="H130" s="33">
        <f aca="true" t="shared" si="14" ref="H130:H132">G130*D130</f>
        <v>10.931158</v>
      </c>
      <c r="I130" s="92"/>
      <c r="J130" s="92"/>
    </row>
    <row r="131" spans="1:10" s="25" customFormat="1" ht="25.5">
      <c r="A131" s="76" t="s">
        <v>172</v>
      </c>
      <c r="B131" s="34" t="s">
        <v>173</v>
      </c>
      <c r="C131" s="30" t="s">
        <v>40</v>
      </c>
      <c r="D131" s="76">
        <f>D130</f>
        <v>28.3</v>
      </c>
      <c r="E131" s="151"/>
      <c r="F131" s="29">
        <f t="shared" si="13"/>
        <v>0</v>
      </c>
      <c r="G131" s="33">
        <v>0.00047</v>
      </c>
      <c r="H131" s="33">
        <f t="shared" si="14"/>
        <v>0.013301</v>
      </c>
      <c r="I131" s="92"/>
      <c r="J131" s="92"/>
    </row>
    <row r="132" spans="1:10" s="25" customFormat="1" ht="81" customHeight="1">
      <c r="A132" s="76" t="s">
        <v>37</v>
      </c>
      <c r="B132" s="34" t="s">
        <v>281</v>
      </c>
      <c r="C132" s="30" t="s">
        <v>40</v>
      </c>
      <c r="D132" s="76">
        <f>D130</f>
        <v>28.3</v>
      </c>
      <c r="E132" s="151"/>
      <c r="F132" s="29">
        <f t="shared" si="13"/>
        <v>0</v>
      </c>
      <c r="G132" s="33">
        <v>0.181</v>
      </c>
      <c r="H132" s="33">
        <f t="shared" si="14"/>
        <v>5.1223</v>
      </c>
      <c r="I132" s="92"/>
      <c r="J132" s="92"/>
    </row>
    <row r="133" spans="1:8" s="25" customFormat="1" ht="25.5">
      <c r="A133" s="76" t="s">
        <v>178</v>
      </c>
      <c r="B133" s="34" t="s">
        <v>179</v>
      </c>
      <c r="C133" s="35" t="s">
        <v>32</v>
      </c>
      <c r="D133" s="84">
        <f>H146</f>
        <v>16.067466500000002</v>
      </c>
      <c r="E133" s="151"/>
      <c r="F133" s="29">
        <f>D133*E133</f>
        <v>0</v>
      </c>
      <c r="G133" s="33">
        <v>0</v>
      </c>
      <c r="H133" s="33"/>
    </row>
    <row r="134" spans="1:8" s="25" customFormat="1" ht="15">
      <c r="A134" s="26" t="s">
        <v>34</v>
      </c>
      <c r="B134" s="27"/>
      <c r="C134" s="26"/>
      <c r="D134" s="28"/>
      <c r="E134" s="150"/>
      <c r="F134" s="70"/>
      <c r="G134" s="28"/>
      <c r="H134" s="20"/>
    </row>
    <row r="135" spans="1:8" s="25" customFormat="1" ht="38.25">
      <c r="A135" s="30" t="s">
        <v>128</v>
      </c>
      <c r="B135" s="31" t="s">
        <v>174</v>
      </c>
      <c r="C135" s="30" t="s">
        <v>40</v>
      </c>
      <c r="D135" s="30">
        <v>28.3</v>
      </c>
      <c r="E135" s="152"/>
      <c r="F135" s="29">
        <f>D135*E135</f>
        <v>0</v>
      </c>
      <c r="G135" s="33">
        <v>0</v>
      </c>
      <c r="H135" s="33">
        <f>D135*G135</f>
        <v>0</v>
      </c>
    </row>
    <row r="136" spans="1:8" s="25" customFormat="1" ht="25.5">
      <c r="A136" s="30" t="s">
        <v>133</v>
      </c>
      <c r="B136" s="31" t="s">
        <v>135</v>
      </c>
      <c r="C136" s="30" t="s">
        <v>40</v>
      </c>
      <c r="D136" s="30">
        <f>D135</f>
        <v>28.3</v>
      </c>
      <c r="E136" s="152"/>
      <c r="F136" s="29">
        <f>D136*E136</f>
        <v>0</v>
      </c>
      <c r="G136" s="33">
        <v>0</v>
      </c>
      <c r="H136" s="33">
        <f>D136*G136</f>
        <v>0</v>
      </c>
    </row>
    <row r="137" spans="1:8" s="37" customFormat="1" ht="12.75">
      <c r="A137" s="58"/>
      <c r="B137" s="59"/>
      <c r="C137" s="60"/>
      <c r="D137" s="61"/>
      <c r="E137" s="156"/>
      <c r="F137" s="62"/>
      <c r="G137" s="63"/>
      <c r="H137" s="63"/>
    </row>
    <row r="138" spans="1:8" s="25" customFormat="1" ht="12.75">
      <c r="A138" s="38" t="s">
        <v>210</v>
      </c>
      <c r="B138" s="39"/>
      <c r="C138" s="40"/>
      <c r="D138" s="41"/>
      <c r="E138" s="153"/>
      <c r="F138" s="42">
        <f>SUM(F126:F136)</f>
        <v>0</v>
      </c>
      <c r="G138" s="43"/>
      <c r="H138" s="64">
        <f>SUM(H127:H136)</f>
        <v>16.066759</v>
      </c>
    </row>
    <row r="139" spans="1:8" s="37" customFormat="1" ht="12.75">
      <c r="A139" s="26"/>
      <c r="B139" s="113"/>
      <c r="C139" s="26"/>
      <c r="D139" s="28"/>
      <c r="E139" s="150"/>
      <c r="F139" s="70"/>
      <c r="G139" s="28"/>
      <c r="H139" s="129"/>
    </row>
    <row r="140" spans="1:8" s="65" customFormat="1" ht="12.75">
      <c r="A140" s="38" t="s">
        <v>211</v>
      </c>
      <c r="B140" s="45"/>
      <c r="C140" s="46"/>
      <c r="D140" s="47"/>
      <c r="E140" s="154"/>
      <c r="F140" s="48"/>
      <c r="G140" s="49"/>
      <c r="H140" s="49"/>
    </row>
    <row r="141" spans="1:8" s="25" customFormat="1" ht="25.5">
      <c r="A141" s="51"/>
      <c r="B141" s="31" t="s">
        <v>175</v>
      </c>
      <c r="C141" s="30" t="s">
        <v>139</v>
      </c>
      <c r="D141" s="30">
        <f>D136*0.025</f>
        <v>0.7075</v>
      </c>
      <c r="E141" s="152"/>
      <c r="F141" s="66">
        <f>E141*D141</f>
        <v>0</v>
      </c>
      <c r="G141" s="33">
        <v>0.001</v>
      </c>
      <c r="H141" s="33">
        <f>D141*G141</f>
        <v>0.0007075</v>
      </c>
    </row>
    <row r="142" spans="1:8" s="25" customFormat="1" ht="12.75">
      <c r="A142" s="38" t="s">
        <v>101</v>
      </c>
      <c r="B142" s="39"/>
      <c r="C142" s="40"/>
      <c r="D142" s="41"/>
      <c r="E142" s="153"/>
      <c r="F142" s="68">
        <f>SUM(F141:F141)</f>
        <v>0</v>
      </c>
      <c r="G142" s="43"/>
      <c r="H142" s="64">
        <f>SUM(H141:H141)</f>
        <v>0.0007075</v>
      </c>
    </row>
    <row r="143" spans="1:8" s="25" customFormat="1" ht="12.75">
      <c r="A143" s="38" t="s">
        <v>176</v>
      </c>
      <c r="B143" s="39"/>
      <c r="C143" s="40"/>
      <c r="D143" s="41"/>
      <c r="E143" s="153"/>
      <c r="F143" s="42">
        <f>F142*1.03*1.25</f>
        <v>0</v>
      </c>
      <c r="G143" s="33"/>
      <c r="H143" s="33"/>
    </row>
    <row r="144" spans="1:8" s="25" customFormat="1" ht="25.5">
      <c r="A144" s="38"/>
      <c r="B144" s="137" t="s">
        <v>256</v>
      </c>
      <c r="C144" s="40"/>
      <c r="D144" s="41"/>
      <c r="E144" s="153"/>
      <c r="F144" s="42"/>
      <c r="G144" s="33"/>
      <c r="H144" s="33"/>
    </row>
    <row r="145" spans="1:8" s="25" customFormat="1" ht="12.75">
      <c r="A145" s="58"/>
      <c r="B145" s="59"/>
      <c r="C145" s="60"/>
      <c r="D145" s="61"/>
      <c r="E145" s="156"/>
      <c r="F145" s="62"/>
      <c r="G145" s="63"/>
      <c r="H145" s="63"/>
    </row>
    <row r="146" spans="1:8" s="25" customFormat="1" ht="12.75">
      <c r="A146" s="38" t="s">
        <v>177</v>
      </c>
      <c r="B146" s="39"/>
      <c r="C146" s="40"/>
      <c r="D146" s="41"/>
      <c r="E146" s="153"/>
      <c r="F146" s="42">
        <f>F138+F143</f>
        <v>0</v>
      </c>
      <c r="G146" s="43"/>
      <c r="H146" s="43">
        <f>H138+H142</f>
        <v>16.067466500000002</v>
      </c>
    </row>
    <row r="147" spans="1:8" s="25" customFormat="1" ht="12.75">
      <c r="A147" s="38"/>
      <c r="B147" s="39"/>
      <c r="C147" s="40"/>
      <c r="D147" s="41"/>
      <c r="E147" s="153"/>
      <c r="F147" s="42"/>
      <c r="G147" s="43"/>
      <c r="H147" s="43"/>
    </row>
    <row r="148" spans="1:8" s="37" customFormat="1" ht="12.75">
      <c r="A148" s="20"/>
      <c r="B148" s="20"/>
      <c r="C148" s="20"/>
      <c r="D148" s="20"/>
      <c r="E148" s="159"/>
      <c r="F148" s="20"/>
      <c r="G148" s="20"/>
      <c r="H148" s="20"/>
    </row>
    <row r="149" spans="1:8" s="37" customFormat="1" ht="45">
      <c r="A149" s="26"/>
      <c r="B149" s="27" t="s">
        <v>143</v>
      </c>
      <c r="C149" s="26"/>
      <c r="D149" s="28"/>
      <c r="E149" s="150"/>
      <c r="F149" s="70"/>
      <c r="G149" s="28"/>
      <c r="H149" s="20"/>
    </row>
    <row r="150" spans="1:8" s="37" customFormat="1" ht="15">
      <c r="A150" s="26" t="s">
        <v>34</v>
      </c>
      <c r="B150" s="27"/>
      <c r="C150" s="26"/>
      <c r="D150" s="28"/>
      <c r="E150" s="150"/>
      <c r="F150" s="70"/>
      <c r="G150" s="28"/>
      <c r="H150" s="20"/>
    </row>
    <row r="151" spans="1:8" s="25" customFormat="1" ht="51">
      <c r="A151" s="30" t="s">
        <v>144</v>
      </c>
      <c r="B151" s="31" t="s">
        <v>145</v>
      </c>
      <c r="C151" s="30" t="s">
        <v>36</v>
      </c>
      <c r="D151" s="30">
        <v>510</v>
      </c>
      <c r="E151" s="152"/>
      <c r="F151" s="29">
        <f>D151*E151</f>
        <v>0</v>
      </c>
      <c r="G151" s="33">
        <v>0</v>
      </c>
      <c r="H151" s="33">
        <f>D151*G151</f>
        <v>0</v>
      </c>
    </row>
    <row r="152" spans="1:8" s="25" customFormat="1" ht="25.5">
      <c r="A152" s="30" t="s">
        <v>133</v>
      </c>
      <c r="B152" s="31" t="s">
        <v>146</v>
      </c>
      <c r="C152" s="30" t="s">
        <v>40</v>
      </c>
      <c r="D152" s="30">
        <v>102</v>
      </c>
      <c r="E152" s="152"/>
      <c r="F152" s="29">
        <f>D152*E152</f>
        <v>0</v>
      </c>
      <c r="G152" s="33">
        <v>0</v>
      </c>
      <c r="H152" s="33">
        <f>D152*G152</f>
        <v>0</v>
      </c>
    </row>
    <row r="153" spans="1:8" s="25" customFormat="1" ht="25.5">
      <c r="A153" s="30" t="s">
        <v>133</v>
      </c>
      <c r="B153" s="31" t="s">
        <v>147</v>
      </c>
      <c r="C153" s="30" t="s">
        <v>40</v>
      </c>
      <c r="D153" s="30">
        <f>D152</f>
        <v>102</v>
      </c>
      <c r="E153" s="152"/>
      <c r="F153" s="29">
        <f>D153*E153</f>
        <v>0</v>
      </c>
      <c r="G153" s="33">
        <v>0</v>
      </c>
      <c r="H153" s="33">
        <f>D153*G153</f>
        <v>0</v>
      </c>
    </row>
    <row r="154" spans="1:8" s="25" customFormat="1" ht="25.5">
      <c r="A154" s="76" t="s">
        <v>166</v>
      </c>
      <c r="B154" s="34" t="s">
        <v>192</v>
      </c>
      <c r="C154" s="35" t="s">
        <v>32</v>
      </c>
      <c r="D154" s="84">
        <f>H163</f>
        <v>0.025500000000000002</v>
      </c>
      <c r="E154" s="151"/>
      <c r="F154" s="29">
        <f>D154*E154</f>
        <v>0</v>
      </c>
      <c r="G154" s="33">
        <v>0</v>
      </c>
      <c r="H154" s="33"/>
    </row>
    <row r="155" spans="1:8" s="37" customFormat="1" ht="12.75">
      <c r="A155" s="76"/>
      <c r="B155" s="34"/>
      <c r="C155" s="35"/>
      <c r="D155" s="128"/>
      <c r="E155" s="151"/>
      <c r="F155" s="29"/>
      <c r="G155" s="33"/>
      <c r="H155" s="33"/>
    </row>
    <row r="156" spans="1:8" s="25" customFormat="1" ht="12.75">
      <c r="A156" s="38" t="s">
        <v>148</v>
      </c>
      <c r="B156" s="39"/>
      <c r="C156" s="40"/>
      <c r="D156" s="41"/>
      <c r="E156" s="153"/>
      <c r="F156" s="42">
        <f>SUM(F151:F154)</f>
        <v>0</v>
      </c>
      <c r="G156" s="43"/>
      <c r="H156" s="64">
        <f>SUM(H151:H153)</f>
        <v>0</v>
      </c>
    </row>
    <row r="157" spans="1:8" s="37" customFormat="1" ht="12.75">
      <c r="A157" s="26"/>
      <c r="B157" s="113"/>
      <c r="C157" s="26"/>
      <c r="D157" s="28"/>
      <c r="E157" s="150"/>
      <c r="F157" s="70"/>
      <c r="G157" s="28"/>
      <c r="H157" s="129"/>
    </row>
    <row r="158" spans="1:8" s="65" customFormat="1" ht="12.75">
      <c r="A158" s="38" t="s">
        <v>149</v>
      </c>
      <c r="B158" s="45"/>
      <c r="C158" s="46"/>
      <c r="D158" s="47"/>
      <c r="E158" s="154"/>
      <c r="F158" s="48"/>
      <c r="G158" s="49"/>
      <c r="H158" s="49"/>
    </row>
    <row r="159" spans="1:8" s="25" customFormat="1" ht="12.75">
      <c r="A159" s="51" t="s">
        <v>214</v>
      </c>
      <c r="B159" s="31" t="s">
        <v>150</v>
      </c>
      <c r="C159" s="30" t="s">
        <v>36</v>
      </c>
      <c r="D159" s="30">
        <v>510</v>
      </c>
      <c r="E159" s="152"/>
      <c r="F159" s="66">
        <f>E159*D159</f>
        <v>0</v>
      </c>
      <c r="G159" s="33">
        <v>5E-05</v>
      </c>
      <c r="H159" s="33">
        <f>D159*G159</f>
        <v>0.025500000000000002</v>
      </c>
    </row>
    <row r="160" spans="1:8" s="25" customFormat="1" ht="12.75">
      <c r="A160" s="38" t="s">
        <v>151</v>
      </c>
      <c r="B160" s="39"/>
      <c r="C160" s="40"/>
      <c r="D160" s="41"/>
      <c r="E160" s="153"/>
      <c r="F160" s="68">
        <f>SUM(F159:F159)</f>
        <v>0</v>
      </c>
      <c r="G160" s="43"/>
      <c r="H160" s="64">
        <f>SUM(H159:H159)</f>
        <v>0.025500000000000002</v>
      </c>
    </row>
    <row r="161" spans="1:8" s="25" customFormat="1" ht="12.75">
      <c r="A161" s="38" t="s">
        <v>96</v>
      </c>
      <c r="B161" s="39"/>
      <c r="C161" s="40"/>
      <c r="D161" s="41"/>
      <c r="E161" s="153"/>
      <c r="F161" s="42">
        <f>F160*1.03*1.25</f>
        <v>0</v>
      </c>
      <c r="G161" s="33"/>
      <c r="H161" s="33"/>
    </row>
    <row r="162" spans="1:8" s="37" customFormat="1" ht="12.75">
      <c r="A162" s="38"/>
      <c r="B162" s="39"/>
      <c r="C162" s="40"/>
      <c r="D162" s="41"/>
      <c r="E162" s="153"/>
      <c r="F162" s="42"/>
      <c r="G162" s="33"/>
      <c r="H162" s="33"/>
    </row>
    <row r="163" spans="1:8" s="25" customFormat="1" ht="12.75">
      <c r="A163" s="38" t="s">
        <v>152</v>
      </c>
      <c r="B163" s="39"/>
      <c r="C163" s="40"/>
      <c r="D163" s="41"/>
      <c r="E163" s="153"/>
      <c r="F163" s="42">
        <f>F156+F161</f>
        <v>0</v>
      </c>
      <c r="G163" s="43"/>
      <c r="H163" s="43">
        <f>H156+H160</f>
        <v>0.025500000000000002</v>
      </c>
    </row>
    <row r="164" spans="1:8" s="25" customFormat="1" ht="12.75">
      <c r="A164" s="38"/>
      <c r="B164" s="39"/>
      <c r="C164" s="40"/>
      <c r="D164" s="41"/>
      <c r="E164" s="153"/>
      <c r="F164" s="42"/>
      <c r="G164" s="43"/>
      <c r="H164" s="43"/>
    </row>
    <row r="165" spans="1:8" s="25" customFormat="1" ht="12.75">
      <c r="A165" s="38"/>
      <c r="B165" s="39"/>
      <c r="C165" s="40"/>
      <c r="D165" s="41"/>
      <c r="E165" s="153"/>
      <c r="F165" s="42"/>
      <c r="G165" s="43"/>
      <c r="H165" s="43"/>
    </row>
    <row r="166" spans="1:8" s="37" customFormat="1" ht="40.5">
      <c r="A166" s="76"/>
      <c r="B166" s="27" t="s">
        <v>153</v>
      </c>
      <c r="C166" s="30"/>
      <c r="D166" s="76"/>
      <c r="E166" s="151"/>
      <c r="F166" s="29"/>
      <c r="G166" s="33"/>
      <c r="H166" s="33"/>
    </row>
    <row r="167" spans="1:8" s="37" customFormat="1" ht="15">
      <c r="A167" s="76" t="s">
        <v>34</v>
      </c>
      <c r="B167" s="27"/>
      <c r="C167" s="30"/>
      <c r="D167" s="76"/>
      <c r="E167" s="151"/>
      <c r="F167" s="29"/>
      <c r="G167" s="33"/>
      <c r="H167" s="33"/>
    </row>
    <row r="168" spans="1:8" s="25" customFormat="1" ht="25.5">
      <c r="A168" s="51" t="s">
        <v>257</v>
      </c>
      <c r="B168" s="34" t="s">
        <v>282</v>
      </c>
      <c r="C168" s="30" t="s">
        <v>36</v>
      </c>
      <c r="D168" s="76">
        <f>D176</f>
        <v>5</v>
      </c>
      <c r="E168" s="151"/>
      <c r="F168" s="29">
        <f aca="true" t="shared" si="15" ref="F168">D168*E168</f>
        <v>0</v>
      </c>
      <c r="G168" s="33">
        <v>0</v>
      </c>
      <c r="H168" s="33">
        <f aca="true" t="shared" si="16" ref="H168">G168*D168</f>
        <v>0</v>
      </c>
    </row>
    <row r="169" spans="1:8" s="25" customFormat="1" ht="25.5">
      <c r="A169" s="51" t="s">
        <v>154</v>
      </c>
      <c r="B169" s="34" t="s">
        <v>155</v>
      </c>
      <c r="C169" s="30" t="s">
        <v>36</v>
      </c>
      <c r="D169" s="76">
        <v>2</v>
      </c>
      <c r="E169" s="151"/>
      <c r="F169" s="29">
        <f aca="true" t="shared" si="17" ref="F169:F170">D169*E169</f>
        <v>0</v>
      </c>
      <c r="G169" s="33">
        <v>0.00112</v>
      </c>
      <c r="H169" s="33">
        <f aca="true" t="shared" si="18" ref="H169:H170">G169*D169</f>
        <v>0.00224</v>
      </c>
    </row>
    <row r="170" spans="1:8" s="25" customFormat="1" ht="12.75">
      <c r="A170" s="76" t="s">
        <v>156</v>
      </c>
      <c r="B170" s="34" t="s">
        <v>157</v>
      </c>
      <c r="C170" s="30" t="s">
        <v>158</v>
      </c>
      <c r="D170" s="76">
        <v>1</v>
      </c>
      <c r="E170" s="151"/>
      <c r="F170" s="29">
        <f t="shared" si="17"/>
        <v>0</v>
      </c>
      <c r="G170" s="33">
        <v>0.0018</v>
      </c>
      <c r="H170" s="33">
        <f t="shared" si="18"/>
        <v>0.0018</v>
      </c>
    </row>
    <row r="171" spans="1:8" s="25" customFormat="1" ht="25.5">
      <c r="A171" s="76" t="s">
        <v>166</v>
      </c>
      <c r="B171" s="34" t="s">
        <v>192</v>
      </c>
      <c r="C171" s="35" t="s">
        <v>32</v>
      </c>
      <c r="D171" s="84">
        <f>H183</f>
        <v>0.5440400000000001</v>
      </c>
      <c r="E171" s="151"/>
      <c r="F171" s="29">
        <f>D171*E171</f>
        <v>0</v>
      </c>
      <c r="G171" s="33">
        <v>0</v>
      </c>
      <c r="H171" s="33"/>
    </row>
    <row r="172" spans="1:8" s="25" customFormat="1" ht="12.75">
      <c r="A172" s="38" t="s">
        <v>159</v>
      </c>
      <c r="B172" s="39"/>
      <c r="C172" s="40"/>
      <c r="D172" s="41"/>
      <c r="E172" s="153"/>
      <c r="F172" s="42">
        <f>SUM(F168:F171)</f>
        <v>0</v>
      </c>
      <c r="G172" s="43"/>
      <c r="H172" s="64">
        <f>SUM(H168:H170)</f>
        <v>0.00404</v>
      </c>
    </row>
    <row r="173" spans="1:8" s="37" customFormat="1" ht="12.75">
      <c r="A173" s="76"/>
      <c r="B173" s="34"/>
      <c r="C173" s="30"/>
      <c r="D173" s="76"/>
      <c r="E173" s="151"/>
      <c r="F173" s="29"/>
      <c r="G173" s="33"/>
      <c r="H173" s="33"/>
    </row>
    <row r="174" spans="1:8" s="25" customFormat="1" ht="12.75">
      <c r="A174" s="38" t="s">
        <v>160</v>
      </c>
      <c r="B174" s="45"/>
      <c r="C174" s="46"/>
      <c r="D174" s="47"/>
      <c r="E174" s="154"/>
      <c r="F174" s="48"/>
      <c r="G174" s="49"/>
      <c r="H174" s="49"/>
    </row>
    <row r="175" spans="1:8" s="25" customFormat="1" ht="25.5">
      <c r="A175" s="51">
        <v>1</v>
      </c>
      <c r="B175" s="34" t="s">
        <v>161</v>
      </c>
      <c r="C175" s="30" t="s">
        <v>57</v>
      </c>
      <c r="D175" s="51">
        <v>35</v>
      </c>
      <c r="E175" s="151"/>
      <c r="F175" s="29">
        <f>D175*E175</f>
        <v>0</v>
      </c>
      <c r="G175" s="33">
        <v>0.008</v>
      </c>
      <c r="H175" s="33">
        <f>D175*G175</f>
        <v>0.28</v>
      </c>
    </row>
    <row r="176" spans="1:8" s="25" customFormat="1" ht="25.5">
      <c r="A176" s="51">
        <v>2</v>
      </c>
      <c r="B176" s="34" t="s">
        <v>203</v>
      </c>
      <c r="C176" s="30" t="s">
        <v>57</v>
      </c>
      <c r="D176" s="51">
        <v>5</v>
      </c>
      <c r="E176" s="151"/>
      <c r="F176" s="29">
        <f>D176*E176</f>
        <v>0</v>
      </c>
      <c r="G176" s="33">
        <v>0.02</v>
      </c>
      <c r="H176" s="33">
        <f>D176*G176</f>
        <v>0.1</v>
      </c>
    </row>
    <row r="177" spans="1:8" s="25" customFormat="1" ht="77.25" customHeight="1">
      <c r="A177" s="51">
        <v>3</v>
      </c>
      <c r="B177" s="34" t="s">
        <v>162</v>
      </c>
      <c r="C177" s="30" t="s">
        <v>57</v>
      </c>
      <c r="D177" s="51">
        <v>2</v>
      </c>
      <c r="E177" s="151"/>
      <c r="F177" s="29">
        <f>D177*E177</f>
        <v>0</v>
      </c>
      <c r="G177" s="33">
        <v>0.02</v>
      </c>
      <c r="H177" s="33">
        <f>D177*G177</f>
        <v>0.04</v>
      </c>
    </row>
    <row r="178" spans="1:8" s="25" customFormat="1" ht="51">
      <c r="A178" s="51">
        <v>4</v>
      </c>
      <c r="B178" s="34" t="s">
        <v>204</v>
      </c>
      <c r="C178" s="30" t="s">
        <v>57</v>
      </c>
      <c r="D178" s="51">
        <v>3</v>
      </c>
      <c r="E178" s="151"/>
      <c r="F178" s="29">
        <f>D178*E178</f>
        <v>0</v>
      </c>
      <c r="G178" s="33">
        <v>0.03</v>
      </c>
      <c r="H178" s="33">
        <f>D178*G178</f>
        <v>0.09</v>
      </c>
    </row>
    <row r="179" spans="1:8" s="25" customFormat="1" ht="25.5">
      <c r="A179" s="51">
        <v>5</v>
      </c>
      <c r="B179" s="34" t="s">
        <v>163</v>
      </c>
      <c r="C179" s="30" t="s">
        <v>57</v>
      </c>
      <c r="D179" s="51">
        <v>1</v>
      </c>
      <c r="E179" s="151"/>
      <c r="F179" s="29">
        <f>D179*E179</f>
        <v>0</v>
      </c>
      <c r="G179" s="33">
        <v>0.03</v>
      </c>
      <c r="H179" s="33">
        <f>D179*G179</f>
        <v>0.03</v>
      </c>
    </row>
    <row r="180" spans="1:8" s="25" customFormat="1" ht="12.75">
      <c r="A180" s="85" t="s">
        <v>164</v>
      </c>
      <c r="B180" s="86"/>
      <c r="C180" s="87"/>
      <c r="D180" s="88"/>
      <c r="E180" s="160"/>
      <c r="F180" s="89">
        <f>SUM(F175:F179)</f>
        <v>0</v>
      </c>
      <c r="G180" s="44"/>
      <c r="H180" s="64">
        <f>SUM(H175:H179)</f>
        <v>0.54</v>
      </c>
    </row>
    <row r="181" spans="1:8" s="25" customFormat="1" ht="12.75">
      <c r="A181" s="38" t="s">
        <v>102</v>
      </c>
      <c r="B181" s="39"/>
      <c r="C181" s="40"/>
      <c r="D181" s="41"/>
      <c r="E181" s="153"/>
      <c r="F181" s="42">
        <f>F180*1.02*1.25</f>
        <v>0</v>
      </c>
      <c r="G181" s="33"/>
      <c r="H181" s="33"/>
    </row>
    <row r="182" spans="1:8" s="37" customFormat="1" ht="12.75">
      <c r="A182" s="38"/>
      <c r="B182" s="39"/>
      <c r="C182" s="40"/>
      <c r="D182" s="41"/>
      <c r="E182" s="153"/>
      <c r="F182" s="42"/>
      <c r="G182" s="33"/>
      <c r="H182" s="33"/>
    </row>
    <row r="183" spans="1:8" s="37" customFormat="1" ht="12.75">
      <c r="A183" s="38" t="s">
        <v>165</v>
      </c>
      <c r="B183" s="20"/>
      <c r="C183" s="40"/>
      <c r="D183" s="41"/>
      <c r="E183" s="153"/>
      <c r="F183" s="42">
        <f>SUM(F181+F172)</f>
        <v>0</v>
      </c>
      <c r="G183" s="33"/>
      <c r="H183" s="90">
        <f>SUM(H180+H172)</f>
        <v>0.5440400000000001</v>
      </c>
    </row>
    <row r="184" spans="1:8" s="37" customFormat="1" ht="12.75">
      <c r="A184" s="58"/>
      <c r="B184" s="39"/>
      <c r="C184" s="60"/>
      <c r="D184" s="61"/>
      <c r="E184" s="156"/>
      <c r="F184" s="62"/>
      <c r="G184" s="75"/>
      <c r="H184" s="75"/>
    </row>
    <row r="185" spans="1:8" s="37" customFormat="1" ht="12.75">
      <c r="A185" s="58"/>
      <c r="B185" s="59"/>
      <c r="C185" s="60"/>
      <c r="D185" s="61"/>
      <c r="E185" s="156"/>
      <c r="F185" s="62"/>
      <c r="G185" s="75"/>
      <c r="H185" s="75"/>
    </row>
    <row r="186" spans="1:8" s="37" customFormat="1" ht="30">
      <c r="A186" s="58"/>
      <c r="B186" s="27" t="s">
        <v>227</v>
      </c>
      <c r="C186" s="60"/>
      <c r="D186" s="61"/>
      <c r="E186" s="156"/>
      <c r="F186" s="62"/>
      <c r="G186" s="75"/>
      <c r="H186" s="75"/>
    </row>
    <row r="187" spans="1:8" s="37" customFormat="1" ht="15">
      <c r="A187" s="26" t="s">
        <v>167</v>
      </c>
      <c r="B187" s="27"/>
      <c r="C187" s="40"/>
      <c r="D187" s="41"/>
      <c r="E187" s="153"/>
      <c r="F187" s="42"/>
      <c r="G187" s="33"/>
      <c r="H187" s="33"/>
    </row>
    <row r="188" spans="1:8" s="25" customFormat="1" ht="51">
      <c r="A188" s="30" t="s">
        <v>193</v>
      </c>
      <c r="B188" s="31" t="s">
        <v>194</v>
      </c>
      <c r="C188" s="30" t="s">
        <v>51</v>
      </c>
      <c r="D188" s="30">
        <f>D194*0.3*0.3</f>
        <v>5.76</v>
      </c>
      <c r="E188" s="152"/>
      <c r="F188" s="29">
        <f>D188*E188</f>
        <v>0</v>
      </c>
      <c r="G188" s="33">
        <v>0</v>
      </c>
      <c r="H188" s="33">
        <f>G188*D188</f>
        <v>0</v>
      </c>
    </row>
    <row r="189" spans="1:8" s="25" customFormat="1" ht="65.25">
      <c r="A189" s="30" t="s">
        <v>263</v>
      </c>
      <c r="B189" s="34" t="s">
        <v>283</v>
      </c>
      <c r="C189" s="30" t="s">
        <v>51</v>
      </c>
      <c r="D189" s="30">
        <v>4</v>
      </c>
      <c r="E189" s="152"/>
      <c r="F189" s="29">
        <f aca="true" t="shared" si="19" ref="F189:F199">D189*E189</f>
        <v>0</v>
      </c>
      <c r="G189" s="33">
        <v>0</v>
      </c>
      <c r="H189" s="33">
        <f>G189*D189</f>
        <v>0</v>
      </c>
    </row>
    <row r="190" spans="1:8" s="25" customFormat="1" ht="63.75">
      <c r="A190" s="30" t="s">
        <v>266</v>
      </c>
      <c r="B190" s="34" t="s">
        <v>265</v>
      </c>
      <c r="C190" s="30" t="s">
        <v>51</v>
      </c>
      <c r="D190" s="30">
        <f>D188+D189+(D199*0.066)</f>
        <v>10.156</v>
      </c>
      <c r="E190" s="152"/>
      <c r="F190" s="29">
        <f t="shared" si="19"/>
        <v>0</v>
      </c>
      <c r="G190" s="33">
        <v>0</v>
      </c>
      <c r="H190" s="33">
        <f aca="true" t="shared" si="20" ref="H190:H192">G190*D190</f>
        <v>0</v>
      </c>
    </row>
    <row r="191" spans="1:8" s="25" customFormat="1" ht="14.25">
      <c r="A191" s="30" t="s">
        <v>253</v>
      </c>
      <c r="B191" s="34" t="s">
        <v>264</v>
      </c>
      <c r="C191" s="30" t="s">
        <v>51</v>
      </c>
      <c r="D191" s="30">
        <f>D190</f>
        <v>10.156</v>
      </c>
      <c r="E191" s="152"/>
      <c r="F191" s="29">
        <f t="shared" si="19"/>
        <v>0</v>
      </c>
      <c r="G191" s="33">
        <v>0</v>
      </c>
      <c r="H191" s="33">
        <f t="shared" si="20"/>
        <v>0</v>
      </c>
    </row>
    <row r="192" spans="1:8" s="25" customFormat="1" ht="39.75">
      <c r="A192" s="30" t="s">
        <v>254</v>
      </c>
      <c r="B192" s="34" t="s">
        <v>284</v>
      </c>
      <c r="C192" s="30" t="s">
        <v>32</v>
      </c>
      <c r="D192" s="30">
        <f>D191*1.8</f>
        <v>18.280800000000003</v>
      </c>
      <c r="E192" s="152"/>
      <c r="F192" s="29">
        <f t="shared" si="19"/>
        <v>0</v>
      </c>
      <c r="G192" s="33">
        <v>0</v>
      </c>
      <c r="H192" s="33">
        <f t="shared" si="20"/>
        <v>0</v>
      </c>
    </row>
    <row r="193" spans="1:10" s="37" customFormat="1" ht="12.75">
      <c r="A193" s="26" t="s">
        <v>169</v>
      </c>
      <c r="B193" s="34"/>
      <c r="C193" s="30"/>
      <c r="D193" s="76"/>
      <c r="E193" s="151"/>
      <c r="F193" s="29"/>
      <c r="G193" s="33"/>
      <c r="H193" s="33"/>
      <c r="I193" s="105"/>
      <c r="J193" s="105"/>
    </row>
    <row r="194" spans="1:10" s="25" customFormat="1" ht="38.25">
      <c r="A194" s="76" t="s">
        <v>195</v>
      </c>
      <c r="B194" s="34" t="s">
        <v>196</v>
      </c>
      <c r="C194" s="30" t="s">
        <v>197</v>
      </c>
      <c r="D194" s="76">
        <f>30.75+1.8+30.53+0.92</f>
        <v>64</v>
      </c>
      <c r="E194" s="151"/>
      <c r="F194" s="29">
        <f t="shared" si="19"/>
        <v>0</v>
      </c>
      <c r="G194" s="33">
        <v>0.1295</v>
      </c>
      <c r="H194" s="33">
        <f>G194*D194</f>
        <v>8.288</v>
      </c>
      <c r="I194" s="92"/>
      <c r="J194" s="92"/>
    </row>
    <row r="195" spans="1:10" s="25" customFormat="1" ht="52.5">
      <c r="A195" s="76" t="s">
        <v>260</v>
      </c>
      <c r="B195" s="34" t="s">
        <v>285</v>
      </c>
      <c r="C195" s="30" t="s">
        <v>40</v>
      </c>
      <c r="D195" s="30">
        <f>31.5*0.15</f>
        <v>4.725</v>
      </c>
      <c r="E195" s="161"/>
      <c r="F195" s="29">
        <f t="shared" si="19"/>
        <v>0</v>
      </c>
      <c r="G195" s="33">
        <v>0.3708</v>
      </c>
      <c r="H195" s="33">
        <f>G195*D195</f>
        <v>1.75203</v>
      </c>
      <c r="I195" s="92"/>
      <c r="J195" s="92"/>
    </row>
    <row r="196" spans="1:10" s="25" customFormat="1" ht="65.25">
      <c r="A196" s="76" t="s">
        <v>37</v>
      </c>
      <c r="B196" s="34" t="s">
        <v>286</v>
      </c>
      <c r="C196" s="30" t="s">
        <v>40</v>
      </c>
      <c r="D196" s="30">
        <f>31*0.15</f>
        <v>4.6499999999999995</v>
      </c>
      <c r="E196" s="161"/>
      <c r="F196" s="29">
        <f t="shared" si="19"/>
        <v>0</v>
      </c>
      <c r="G196" s="33">
        <v>0.40481</v>
      </c>
      <c r="H196" s="33">
        <f>G196*D196</f>
        <v>1.8823664999999998</v>
      </c>
      <c r="I196" s="92"/>
      <c r="J196" s="92"/>
    </row>
    <row r="197" spans="1:8" s="25" customFormat="1" ht="25.5">
      <c r="A197" s="76" t="s">
        <v>201</v>
      </c>
      <c r="B197" s="34" t="s">
        <v>202</v>
      </c>
      <c r="C197" s="35" t="s">
        <v>32</v>
      </c>
      <c r="D197" s="110">
        <f>H208</f>
        <v>15.4103965</v>
      </c>
      <c r="E197" s="151"/>
      <c r="F197" s="29">
        <f t="shared" si="19"/>
        <v>0</v>
      </c>
      <c r="G197" s="33">
        <v>0</v>
      </c>
      <c r="H197" s="33"/>
    </row>
    <row r="198" spans="1:10" s="37" customFormat="1" ht="12.75">
      <c r="A198" s="26" t="s">
        <v>34</v>
      </c>
      <c r="B198" s="34"/>
      <c r="C198" s="30"/>
      <c r="D198" s="76"/>
      <c r="E198" s="151"/>
      <c r="F198" s="29"/>
      <c r="G198" s="33"/>
      <c r="H198" s="33"/>
      <c r="I198" s="105"/>
      <c r="J198" s="105"/>
    </row>
    <row r="199" spans="1:10" s="25" customFormat="1" ht="25.5">
      <c r="A199" s="76" t="s">
        <v>258</v>
      </c>
      <c r="B199" s="34" t="s">
        <v>259</v>
      </c>
      <c r="C199" s="30" t="s">
        <v>36</v>
      </c>
      <c r="D199" s="76">
        <v>6</v>
      </c>
      <c r="E199" s="151"/>
      <c r="F199" s="29">
        <f t="shared" si="19"/>
        <v>0</v>
      </c>
      <c r="G199" s="33">
        <v>0</v>
      </c>
      <c r="H199" s="33">
        <f>G199*D199</f>
        <v>0</v>
      </c>
      <c r="I199" s="92"/>
      <c r="J199" s="92"/>
    </row>
    <row r="200" spans="1:10" s="37" customFormat="1" ht="12.75">
      <c r="A200" s="76"/>
      <c r="B200" s="34"/>
      <c r="C200" s="30"/>
      <c r="D200" s="76"/>
      <c r="E200" s="151"/>
      <c r="F200" s="29"/>
      <c r="G200" s="33"/>
      <c r="H200" s="33"/>
      <c r="I200" s="105"/>
      <c r="J200" s="105"/>
    </row>
    <row r="201" spans="1:10" s="25" customFormat="1" ht="12.75">
      <c r="A201" s="38" t="s">
        <v>198</v>
      </c>
      <c r="B201" s="39"/>
      <c r="C201" s="40"/>
      <c r="D201" s="41"/>
      <c r="E201" s="153"/>
      <c r="F201" s="42">
        <f>SUM(F188:F199)</f>
        <v>0</v>
      </c>
      <c r="G201" s="43"/>
      <c r="H201" s="64">
        <f>SUM(H188:H199)</f>
        <v>11.9223965</v>
      </c>
      <c r="J201" s="106"/>
    </row>
    <row r="202" spans="1:10" s="37" customFormat="1" ht="12.75">
      <c r="A202" s="38"/>
      <c r="B202" s="39"/>
      <c r="C202" s="40"/>
      <c r="D202" s="41"/>
      <c r="E202" s="153"/>
      <c r="F202" s="42"/>
      <c r="G202" s="43"/>
      <c r="H202" s="43"/>
      <c r="J202" s="107"/>
    </row>
    <row r="203" spans="1:10" s="25" customFormat="1" ht="12.75">
      <c r="A203" s="38" t="s">
        <v>199</v>
      </c>
      <c r="B203" s="45"/>
      <c r="C203" s="46"/>
      <c r="D203" s="47"/>
      <c r="E203" s="154"/>
      <c r="F203" s="48"/>
      <c r="G203" s="49"/>
      <c r="H203" s="49"/>
      <c r="I203" s="65"/>
      <c r="J203" s="65"/>
    </row>
    <row r="204" spans="1:8" s="37" customFormat="1" ht="12.75">
      <c r="A204" s="51"/>
      <c r="B204" s="34" t="s">
        <v>261</v>
      </c>
      <c r="C204" s="30" t="s">
        <v>57</v>
      </c>
      <c r="D204" s="51">
        <f>D194</f>
        <v>64</v>
      </c>
      <c r="E204" s="151"/>
      <c r="F204" s="29">
        <f aca="true" t="shared" si="21" ref="F204">D204*E204</f>
        <v>0</v>
      </c>
      <c r="G204" s="33">
        <v>0.0545</v>
      </c>
      <c r="H204" s="33">
        <f>D204*G204</f>
        <v>3.488</v>
      </c>
    </row>
    <row r="205" spans="1:8" s="65" customFormat="1" ht="12.75">
      <c r="A205" s="38" t="s">
        <v>200</v>
      </c>
      <c r="B205" s="39"/>
      <c r="C205" s="40"/>
      <c r="D205" s="41"/>
      <c r="E205" s="153"/>
      <c r="F205" s="42">
        <f>SUM(F204:F204)</f>
        <v>0</v>
      </c>
      <c r="G205" s="43"/>
      <c r="H205" s="43">
        <f>SUM(H204:H204)</f>
        <v>3.488</v>
      </c>
    </row>
    <row r="206" spans="1:10" s="25" customFormat="1" ht="12.75">
      <c r="A206" s="38" t="s">
        <v>262</v>
      </c>
      <c r="B206" s="39"/>
      <c r="C206" s="40"/>
      <c r="D206" s="41"/>
      <c r="E206" s="153"/>
      <c r="F206" s="42">
        <f>F205*1.02*1.25</f>
        <v>0</v>
      </c>
      <c r="G206" s="33"/>
      <c r="H206" s="108"/>
      <c r="J206" s="109"/>
    </row>
    <row r="207" spans="1:10" s="25" customFormat="1" ht="12.75">
      <c r="A207" s="38"/>
      <c r="B207" s="39"/>
      <c r="C207" s="40"/>
      <c r="D207" s="41"/>
      <c r="E207" s="153"/>
      <c r="F207" s="42"/>
      <c r="G207" s="33"/>
      <c r="H207" s="108"/>
      <c r="J207" s="109"/>
    </row>
    <row r="208" spans="1:8" s="25" customFormat="1" ht="12.75">
      <c r="A208" s="38" t="s">
        <v>228</v>
      </c>
      <c r="B208" s="39"/>
      <c r="C208" s="40"/>
      <c r="D208" s="41"/>
      <c r="E208" s="153"/>
      <c r="F208" s="42">
        <f>F201+F206</f>
        <v>0</v>
      </c>
      <c r="G208" s="43"/>
      <c r="H208" s="43">
        <f>H201+H205</f>
        <v>15.4103965</v>
      </c>
    </row>
    <row r="209" spans="1:8" s="37" customFormat="1" ht="15">
      <c r="A209" s="76"/>
      <c r="B209" s="27"/>
      <c r="C209" s="30"/>
      <c r="D209" s="76"/>
      <c r="E209" s="151"/>
      <c r="F209" s="29"/>
      <c r="G209" s="33"/>
      <c r="H209" s="33"/>
    </row>
    <row r="210" spans="1:8" s="37" customFormat="1" ht="12.75">
      <c r="A210" s="38"/>
      <c r="B210" s="39"/>
      <c r="C210" s="40"/>
      <c r="D210" s="41"/>
      <c r="E210" s="153"/>
      <c r="F210" s="42"/>
      <c r="G210" s="33"/>
      <c r="H210" s="33"/>
    </row>
    <row r="211" spans="1:8" s="25" customFormat="1" ht="142.5">
      <c r="A211" s="26"/>
      <c r="B211" s="69" t="s">
        <v>104</v>
      </c>
      <c r="C211" s="26"/>
      <c r="D211" s="28"/>
      <c r="E211" s="150"/>
      <c r="F211" s="70"/>
      <c r="G211" s="28"/>
      <c r="H211" s="20"/>
    </row>
    <row r="212" spans="1:8" s="25" customFormat="1" ht="15">
      <c r="A212" s="26" t="s">
        <v>34</v>
      </c>
      <c r="B212" s="27"/>
      <c r="C212" s="26"/>
      <c r="D212" s="28"/>
      <c r="E212" s="150"/>
      <c r="F212" s="70"/>
      <c r="G212" s="28"/>
      <c r="H212" s="20"/>
    </row>
    <row r="213" spans="1:8" s="25" customFormat="1" ht="38.25">
      <c r="A213" s="30" t="s">
        <v>105</v>
      </c>
      <c r="B213" s="31" t="s">
        <v>106</v>
      </c>
      <c r="C213" s="30" t="s">
        <v>36</v>
      </c>
      <c r="D213" s="32">
        <f>SUM(D42:D43)+SUM(D55:D71)</f>
        <v>170</v>
      </c>
      <c r="E213" s="152"/>
      <c r="F213" s="29">
        <f aca="true" t="shared" si="22" ref="F213:F233">D213*E213</f>
        <v>0</v>
      </c>
      <c r="G213" s="33">
        <v>0</v>
      </c>
      <c r="H213" s="33">
        <f aca="true" t="shared" si="23" ref="H213:H233">D213*G213</f>
        <v>0</v>
      </c>
    </row>
    <row r="214" spans="1:8" s="25" customFormat="1" ht="25.5">
      <c r="A214" s="30" t="s">
        <v>107</v>
      </c>
      <c r="B214" s="31" t="s">
        <v>241</v>
      </c>
      <c r="C214" s="30" t="s">
        <v>36</v>
      </c>
      <c r="D214" s="71">
        <f>SUM(D33:D40)</f>
        <v>126</v>
      </c>
      <c r="E214" s="152"/>
      <c r="F214" s="29">
        <f t="shared" si="22"/>
        <v>0</v>
      </c>
      <c r="G214" s="33">
        <v>0</v>
      </c>
      <c r="H214" s="33">
        <f t="shared" si="23"/>
        <v>0</v>
      </c>
    </row>
    <row r="215" spans="1:8" s="25" customFormat="1" ht="25.5">
      <c r="A215" s="30" t="s">
        <v>107</v>
      </c>
      <c r="B215" s="31" t="s">
        <v>108</v>
      </c>
      <c r="C215" s="30" t="s">
        <v>36</v>
      </c>
      <c r="D215" s="71">
        <f>D214</f>
        <v>126</v>
      </c>
      <c r="E215" s="152"/>
      <c r="F215" s="29">
        <f t="shared" si="22"/>
        <v>0</v>
      </c>
      <c r="G215" s="33">
        <v>0</v>
      </c>
      <c r="H215" s="33">
        <f t="shared" si="23"/>
        <v>0</v>
      </c>
    </row>
    <row r="216" spans="1:8" s="25" customFormat="1" ht="25.5">
      <c r="A216" s="30" t="s">
        <v>107</v>
      </c>
      <c r="B216" s="31" t="s">
        <v>109</v>
      </c>
      <c r="C216" s="30" t="s">
        <v>36</v>
      </c>
      <c r="D216" s="71">
        <f>D214</f>
        <v>126</v>
      </c>
      <c r="E216" s="152"/>
      <c r="F216" s="29">
        <f t="shared" si="22"/>
        <v>0</v>
      </c>
      <c r="G216" s="33">
        <v>0</v>
      </c>
      <c r="H216" s="33">
        <f t="shared" si="23"/>
        <v>0</v>
      </c>
    </row>
    <row r="217" spans="1:8" s="25" customFormat="1" ht="25.5">
      <c r="A217" s="30" t="s">
        <v>37</v>
      </c>
      <c r="B217" s="31" t="s">
        <v>110</v>
      </c>
      <c r="C217" s="30" t="s">
        <v>36</v>
      </c>
      <c r="D217" s="32">
        <f>SUM(D45:D46)</f>
        <v>1048</v>
      </c>
      <c r="E217" s="152"/>
      <c r="F217" s="29">
        <f t="shared" si="22"/>
        <v>0</v>
      </c>
      <c r="G217" s="33">
        <v>0</v>
      </c>
      <c r="H217" s="33">
        <f t="shared" si="23"/>
        <v>0</v>
      </c>
    </row>
    <row r="218" spans="1:8" s="25" customFormat="1" ht="38.25">
      <c r="A218" s="30" t="s">
        <v>111</v>
      </c>
      <c r="B218" s="31" t="s">
        <v>112</v>
      </c>
      <c r="C218" s="30" t="s">
        <v>36</v>
      </c>
      <c r="D218" s="71">
        <f>SUM(D60:D71)+SUM(D55:D57)</f>
        <v>50</v>
      </c>
      <c r="E218" s="152"/>
      <c r="F218" s="29">
        <f t="shared" si="22"/>
        <v>0</v>
      </c>
      <c r="G218" s="33">
        <v>0</v>
      </c>
      <c r="H218" s="33">
        <f t="shared" si="23"/>
        <v>0</v>
      </c>
    </row>
    <row r="219" spans="1:8" s="25" customFormat="1" ht="38.25">
      <c r="A219" s="30" t="s">
        <v>111</v>
      </c>
      <c r="B219" s="31" t="s">
        <v>113</v>
      </c>
      <c r="C219" s="30" t="s">
        <v>36</v>
      </c>
      <c r="D219" s="71">
        <f>D218</f>
        <v>50</v>
      </c>
      <c r="E219" s="152"/>
      <c r="F219" s="29">
        <f t="shared" si="22"/>
        <v>0</v>
      </c>
      <c r="G219" s="33">
        <v>0</v>
      </c>
      <c r="H219" s="33">
        <f t="shared" si="23"/>
        <v>0</v>
      </c>
    </row>
    <row r="220" spans="1:8" s="25" customFormat="1" ht="25.5">
      <c r="A220" s="30" t="s">
        <v>37</v>
      </c>
      <c r="B220" s="31" t="s">
        <v>114</v>
      </c>
      <c r="C220" s="30" t="s">
        <v>36</v>
      </c>
      <c r="D220" s="71">
        <f>D217</f>
        <v>1048</v>
      </c>
      <c r="E220" s="152"/>
      <c r="F220" s="29">
        <f t="shared" si="22"/>
        <v>0</v>
      </c>
      <c r="G220" s="33">
        <v>0</v>
      </c>
      <c r="H220" s="33">
        <f t="shared" si="23"/>
        <v>0</v>
      </c>
    </row>
    <row r="221" spans="1:8" s="25" customFormat="1" ht="25.5">
      <c r="A221" s="30" t="s">
        <v>37</v>
      </c>
      <c r="B221" s="31" t="s">
        <v>115</v>
      </c>
      <c r="C221" s="30" t="s">
        <v>36</v>
      </c>
      <c r="D221" s="71">
        <f>D217</f>
        <v>1048</v>
      </c>
      <c r="E221" s="152"/>
      <c r="F221" s="29">
        <f t="shared" si="22"/>
        <v>0</v>
      </c>
      <c r="G221" s="33">
        <v>0</v>
      </c>
      <c r="H221" s="33">
        <f t="shared" si="23"/>
        <v>0</v>
      </c>
    </row>
    <row r="222" spans="1:8" s="25" customFormat="1" ht="51">
      <c r="A222" s="30" t="s">
        <v>116</v>
      </c>
      <c r="B222" s="31" t="s">
        <v>117</v>
      </c>
      <c r="C222" s="30" t="s">
        <v>40</v>
      </c>
      <c r="D222" s="30">
        <f>(37*0.4)*3</f>
        <v>44.400000000000006</v>
      </c>
      <c r="E222" s="152"/>
      <c r="F222" s="29">
        <f t="shared" si="22"/>
        <v>0</v>
      </c>
      <c r="G222" s="33">
        <v>0</v>
      </c>
      <c r="H222" s="33">
        <f t="shared" si="23"/>
        <v>0</v>
      </c>
    </row>
    <row r="223" spans="1:8" s="25" customFormat="1" ht="51">
      <c r="A223" s="30" t="s">
        <v>116</v>
      </c>
      <c r="B223" s="31" t="s">
        <v>242</v>
      </c>
      <c r="C223" s="30" t="s">
        <v>40</v>
      </c>
      <c r="D223" s="30">
        <f>(34.5*0.4)*3</f>
        <v>41.400000000000006</v>
      </c>
      <c r="E223" s="152"/>
      <c r="F223" s="29">
        <f t="shared" si="22"/>
        <v>0</v>
      </c>
      <c r="G223" s="33">
        <v>0</v>
      </c>
      <c r="H223" s="33">
        <f t="shared" si="23"/>
        <v>0</v>
      </c>
    </row>
    <row r="224" spans="1:8" s="25" customFormat="1" ht="51">
      <c r="A224" s="30" t="s">
        <v>116</v>
      </c>
      <c r="B224" s="31" t="s">
        <v>243</v>
      </c>
      <c r="C224" s="30" t="s">
        <v>40</v>
      </c>
      <c r="D224" s="30">
        <f>(34.5*0.5)*3</f>
        <v>51.75</v>
      </c>
      <c r="E224" s="152"/>
      <c r="F224" s="29">
        <f t="shared" si="22"/>
        <v>0</v>
      </c>
      <c r="G224" s="33">
        <v>0</v>
      </c>
      <c r="H224" s="33">
        <f t="shared" si="23"/>
        <v>0</v>
      </c>
    </row>
    <row r="225" spans="1:8" s="25" customFormat="1" ht="51">
      <c r="A225" s="30" t="s">
        <v>116</v>
      </c>
      <c r="B225" s="31" t="s">
        <v>244</v>
      </c>
      <c r="C225" s="30" t="s">
        <v>40</v>
      </c>
      <c r="D225" s="30">
        <f>(34.5*0.5)*3</f>
        <v>51.75</v>
      </c>
      <c r="E225" s="152"/>
      <c r="F225" s="29">
        <f t="shared" si="22"/>
        <v>0</v>
      </c>
      <c r="G225" s="33">
        <v>0</v>
      </c>
      <c r="H225" s="33">
        <f t="shared" si="23"/>
        <v>0</v>
      </c>
    </row>
    <row r="226" spans="1:8" s="25" customFormat="1" ht="25.5">
      <c r="A226" s="30" t="s">
        <v>239</v>
      </c>
      <c r="B226" s="31" t="s">
        <v>287</v>
      </c>
      <c r="C226" s="30" t="s">
        <v>36</v>
      </c>
      <c r="D226" s="30">
        <v>2</v>
      </c>
      <c r="E226" s="152"/>
      <c r="F226" s="29">
        <f t="shared" si="22"/>
        <v>0</v>
      </c>
      <c r="G226" s="33">
        <v>0</v>
      </c>
      <c r="H226" s="33">
        <f t="shared" si="23"/>
        <v>0</v>
      </c>
    </row>
    <row r="227" spans="1:8" s="25" customFormat="1" ht="25.5">
      <c r="A227" s="30" t="s">
        <v>240</v>
      </c>
      <c r="B227" s="31" t="s">
        <v>288</v>
      </c>
      <c r="C227" s="30" t="s">
        <v>36</v>
      </c>
      <c r="D227" s="32">
        <f>D19</f>
        <v>1</v>
      </c>
      <c r="E227" s="152"/>
      <c r="F227" s="29">
        <f t="shared" si="22"/>
        <v>0</v>
      </c>
      <c r="G227" s="33">
        <v>0</v>
      </c>
      <c r="H227" s="33">
        <f t="shared" si="23"/>
        <v>0</v>
      </c>
    </row>
    <row r="228" spans="1:8" s="25" customFormat="1" ht="28.5" customHeight="1">
      <c r="A228" s="30" t="s">
        <v>118</v>
      </c>
      <c r="B228" s="31" t="s">
        <v>289</v>
      </c>
      <c r="C228" s="30" t="s">
        <v>40</v>
      </c>
      <c r="D228" s="30">
        <f>SUM(D12+D13)*10</f>
        <v>2100</v>
      </c>
      <c r="E228" s="152"/>
      <c r="F228" s="29">
        <f t="shared" si="22"/>
        <v>0</v>
      </c>
      <c r="G228" s="33">
        <v>0</v>
      </c>
      <c r="H228" s="33">
        <f t="shared" si="23"/>
        <v>0</v>
      </c>
    </row>
    <row r="229" spans="1:8" s="25" customFormat="1" ht="41.25">
      <c r="A229" s="30" t="s">
        <v>119</v>
      </c>
      <c r="B229" s="31" t="s">
        <v>290</v>
      </c>
      <c r="C229" s="30" t="s">
        <v>51</v>
      </c>
      <c r="D229" s="30">
        <f>(12+7+15+3)*(20*0.01)</f>
        <v>7.4</v>
      </c>
      <c r="E229" s="152"/>
      <c r="F229" s="29">
        <f>D229*E229</f>
        <v>0</v>
      </c>
      <c r="G229" s="33">
        <v>0</v>
      </c>
      <c r="H229" s="33">
        <f>D229*G229</f>
        <v>0</v>
      </c>
    </row>
    <row r="230" spans="1:8" s="25" customFormat="1" ht="41.25">
      <c r="A230" s="30" t="s">
        <v>245</v>
      </c>
      <c r="B230" s="31" t="s">
        <v>291</v>
      </c>
      <c r="C230" s="30" t="s">
        <v>51</v>
      </c>
      <c r="D230" s="30">
        <f>((D12+D13)-D229)*(20*0.01)</f>
        <v>40.52</v>
      </c>
      <c r="E230" s="152"/>
      <c r="F230" s="29">
        <f aca="true" t="shared" si="24" ref="F230:F232">D230*E230</f>
        <v>0</v>
      </c>
      <c r="G230" s="33">
        <v>0</v>
      </c>
      <c r="H230" s="33">
        <f aca="true" t="shared" si="25" ref="H230:H232">D230*G230</f>
        <v>0</v>
      </c>
    </row>
    <row r="231" spans="1:8" s="25" customFormat="1" ht="41.25">
      <c r="A231" s="30" t="s">
        <v>246</v>
      </c>
      <c r="B231" s="31" t="s">
        <v>292</v>
      </c>
      <c r="C231" s="30" t="s">
        <v>51</v>
      </c>
      <c r="D231" s="30">
        <f>27.9*(20*0.01)</f>
        <v>5.58</v>
      </c>
      <c r="E231" s="152"/>
      <c r="F231" s="29">
        <f t="shared" si="24"/>
        <v>0</v>
      </c>
      <c r="G231" s="33">
        <v>0</v>
      </c>
      <c r="H231" s="33">
        <f t="shared" si="25"/>
        <v>0</v>
      </c>
    </row>
    <row r="232" spans="1:8" s="25" customFormat="1" ht="41.25">
      <c r="A232" s="30" t="s">
        <v>236</v>
      </c>
      <c r="B232" s="31" t="s">
        <v>279</v>
      </c>
      <c r="C232" s="30" t="s">
        <v>51</v>
      </c>
      <c r="D232" s="30">
        <f>D229+D230</f>
        <v>47.92</v>
      </c>
      <c r="E232" s="152"/>
      <c r="F232" s="29">
        <f t="shared" si="24"/>
        <v>0</v>
      </c>
      <c r="G232" s="33">
        <v>0</v>
      </c>
      <c r="H232" s="33">
        <f t="shared" si="25"/>
        <v>0</v>
      </c>
    </row>
    <row r="233" spans="1:8" s="25" customFormat="1" ht="14.25">
      <c r="A233" s="30"/>
      <c r="B233" s="31" t="s">
        <v>237</v>
      </c>
      <c r="C233" s="30" t="s">
        <v>51</v>
      </c>
      <c r="D233" s="30">
        <f>D232</f>
        <v>47.92</v>
      </c>
      <c r="E233" s="152"/>
      <c r="F233" s="29">
        <f t="shared" si="22"/>
        <v>0</v>
      </c>
      <c r="G233" s="33">
        <v>0</v>
      </c>
      <c r="H233" s="33">
        <f t="shared" si="23"/>
        <v>0</v>
      </c>
    </row>
    <row r="234" spans="1:8" s="37" customFormat="1" ht="12.75">
      <c r="A234" s="76"/>
      <c r="B234" s="34"/>
      <c r="C234" s="35"/>
      <c r="D234" s="128"/>
      <c r="E234" s="151"/>
      <c r="F234" s="29"/>
      <c r="G234" s="33"/>
      <c r="H234" s="33"/>
    </row>
    <row r="235" spans="1:8" s="25" customFormat="1" ht="12.75">
      <c r="A235" s="38" t="s">
        <v>120</v>
      </c>
      <c r="B235" s="39"/>
      <c r="C235" s="40"/>
      <c r="D235" s="41"/>
      <c r="E235" s="153"/>
      <c r="F235" s="42">
        <f>SUM(F213:F233)</f>
        <v>0</v>
      </c>
      <c r="G235" s="43"/>
      <c r="H235" s="43">
        <f>SUM(H213:H233)</f>
        <v>0</v>
      </c>
    </row>
    <row r="236" spans="1:8" s="25" customFormat="1" ht="12.75">
      <c r="A236" s="38"/>
      <c r="B236" s="39"/>
      <c r="C236" s="40"/>
      <c r="D236" s="41"/>
      <c r="E236" s="153"/>
      <c r="F236" s="42"/>
      <c r="G236" s="43"/>
      <c r="H236" s="43"/>
    </row>
    <row r="237" spans="1:8" s="25" customFormat="1" ht="12.75">
      <c r="A237" s="58"/>
      <c r="B237" s="59"/>
      <c r="C237" s="60"/>
      <c r="D237" s="61"/>
      <c r="E237" s="156"/>
      <c r="F237" s="62"/>
      <c r="G237" s="63"/>
      <c r="H237" s="63"/>
    </row>
    <row r="238" spans="1:8" s="25" customFormat="1" ht="12.75">
      <c r="A238" s="58"/>
      <c r="B238" s="59"/>
      <c r="C238" s="60"/>
      <c r="D238" s="61"/>
      <c r="E238" s="156"/>
      <c r="F238" s="62"/>
      <c r="G238" s="63"/>
      <c r="H238" s="63"/>
    </row>
    <row r="239" spans="1:8" s="25" customFormat="1" ht="12.75">
      <c r="A239" s="58"/>
      <c r="B239" s="59"/>
      <c r="C239" s="60"/>
      <c r="D239" s="61"/>
      <c r="E239" s="156"/>
      <c r="F239" s="62"/>
      <c r="G239" s="63"/>
      <c r="H239" s="63"/>
    </row>
    <row r="240" spans="1:8" s="25" customFormat="1" ht="12.75">
      <c r="A240" s="38"/>
      <c r="B240" s="39"/>
      <c r="C240" s="40"/>
      <c r="D240" s="41"/>
      <c r="E240" s="153"/>
      <c r="F240" s="42"/>
      <c r="G240" s="43"/>
      <c r="H240" s="43"/>
    </row>
    <row r="241" spans="1:8" s="37" customFormat="1" ht="12.75">
      <c r="A241" s="38"/>
      <c r="B241" s="39"/>
      <c r="C241" s="40"/>
      <c r="D241" s="41"/>
      <c r="E241" s="153"/>
      <c r="F241" s="42"/>
      <c r="G241" s="33"/>
      <c r="H241" s="33"/>
    </row>
    <row r="242" spans="1:8" s="25" customFormat="1" ht="15.75">
      <c r="A242" s="20"/>
      <c r="B242" s="93" t="s">
        <v>180</v>
      </c>
      <c r="C242" s="20"/>
      <c r="D242" s="20"/>
      <c r="E242" s="159"/>
      <c r="F242" s="20"/>
      <c r="G242" s="20"/>
      <c r="H242" s="20"/>
    </row>
    <row r="243" spans="1:8" s="25" customFormat="1" ht="12.75">
      <c r="A243" s="20"/>
      <c r="B243" s="114" t="s">
        <v>33</v>
      </c>
      <c r="C243" s="20"/>
      <c r="D243" s="20"/>
      <c r="E243" s="159"/>
      <c r="F243" s="29">
        <f>F88</f>
        <v>0</v>
      </c>
      <c r="G243" s="20"/>
      <c r="H243" s="20"/>
    </row>
    <row r="244" spans="1:8" s="25" customFormat="1" ht="12.75">
      <c r="A244" s="20"/>
      <c r="B244" s="114" t="s">
        <v>121</v>
      </c>
      <c r="C244" s="20"/>
      <c r="D244" s="20"/>
      <c r="E244" s="159"/>
      <c r="F244" s="29">
        <f>F95</f>
        <v>0</v>
      </c>
      <c r="G244" s="20"/>
      <c r="H244" s="20"/>
    </row>
    <row r="245" spans="1:10" s="25" customFormat="1" ht="12.75">
      <c r="A245" s="20"/>
      <c r="B245" s="114" t="s">
        <v>182</v>
      </c>
      <c r="C245" s="20"/>
      <c r="D245" s="20"/>
      <c r="E245" s="159"/>
      <c r="F245" s="29">
        <f>F102</f>
        <v>0</v>
      </c>
      <c r="G245" s="20"/>
      <c r="H245" s="20"/>
      <c r="J245" s="19"/>
    </row>
    <row r="246" spans="1:12" s="25" customFormat="1" ht="51">
      <c r="A246" s="20"/>
      <c r="B246" s="113" t="s">
        <v>293</v>
      </c>
      <c r="C246" s="20"/>
      <c r="D246" s="20"/>
      <c r="E246" s="159"/>
      <c r="F246" s="29">
        <f>IF(F121&gt;((F243+F244)*0.2),((F243+F244)*0.2),F121)</f>
        <v>0</v>
      </c>
      <c r="G246" s="20"/>
      <c r="H246" s="20"/>
      <c r="J246" s="116"/>
      <c r="K246" s="116"/>
      <c r="L246" s="117"/>
    </row>
    <row r="247" spans="1:12" s="37" customFormat="1" ht="89.25">
      <c r="A247" s="20"/>
      <c r="B247" s="113" t="s">
        <v>294</v>
      </c>
      <c r="C247" s="20"/>
      <c r="D247" s="20"/>
      <c r="E247" s="159"/>
      <c r="F247" s="29">
        <f>IF(F146&gt;(((F243+F244)*0.2)-F246),(((F243+F244)*0.2)-F246),F146)</f>
        <v>0</v>
      </c>
      <c r="G247" s="20"/>
      <c r="H247" s="20"/>
      <c r="J247" s="116"/>
      <c r="K247" s="119"/>
      <c r="L247" s="121"/>
    </row>
    <row r="248" spans="1:12" s="25" customFormat="1" ht="51">
      <c r="A248" s="20"/>
      <c r="B248" s="113" t="s">
        <v>268</v>
      </c>
      <c r="C248" s="20"/>
      <c r="D248" s="20"/>
      <c r="E248" s="159"/>
      <c r="F248" s="29">
        <f>IF(F163&gt;((F243+F244)*0.2),((F243+F244)*0.2),F163)</f>
        <v>0</v>
      </c>
      <c r="G248" s="20"/>
      <c r="H248" s="20"/>
      <c r="J248" s="116"/>
      <c r="K248" s="120"/>
      <c r="L248" s="117"/>
    </row>
    <row r="249" spans="1:13" s="25" customFormat="1" ht="38.25">
      <c r="A249" s="20"/>
      <c r="B249" s="113" t="s">
        <v>267</v>
      </c>
      <c r="C249" s="20"/>
      <c r="D249" s="20"/>
      <c r="E249" s="159"/>
      <c r="F249" s="29">
        <f>IF(F183&gt;((F243+F244+F245+F246+F247+F248)*0.2),(F243+F244+F245+F246+F247+F248)*0.2,F183)</f>
        <v>0</v>
      </c>
      <c r="G249" s="20"/>
      <c r="H249" s="20"/>
      <c r="J249" s="116"/>
      <c r="K249" s="120"/>
      <c r="L249" s="117"/>
      <c r="M249" s="117"/>
    </row>
    <row r="250" spans="1:12" s="25" customFormat="1" ht="38.25">
      <c r="A250" s="20"/>
      <c r="B250" s="113" t="s">
        <v>269</v>
      </c>
      <c r="C250" s="20"/>
      <c r="D250" s="20"/>
      <c r="E250" s="159"/>
      <c r="F250" s="29">
        <f>IF(F208&gt;((F243+F244+F245+F246+F247+F248)*0.2),(F243+F244+F245+F246+F247+F248)*0.2,F208)</f>
        <v>0</v>
      </c>
      <c r="G250" s="20"/>
      <c r="H250" s="20"/>
      <c r="J250" s="116"/>
      <c r="K250" s="120"/>
      <c r="L250" s="117"/>
    </row>
    <row r="251" spans="1:8" s="25" customFormat="1" ht="12.75">
      <c r="A251" s="20"/>
      <c r="B251" s="114" t="s">
        <v>181</v>
      </c>
      <c r="C251" s="20"/>
      <c r="D251" s="20"/>
      <c r="E251" s="159"/>
      <c r="F251" s="29">
        <f>F235</f>
        <v>0</v>
      </c>
      <c r="G251" s="20"/>
      <c r="H251" s="20"/>
    </row>
    <row r="252" spans="1:10" s="25" customFormat="1" ht="12.75">
      <c r="A252" s="20"/>
      <c r="B252" s="20"/>
      <c r="C252" s="20"/>
      <c r="D252" s="20"/>
      <c r="E252" s="159"/>
      <c r="F252" s="95"/>
      <c r="G252" s="20"/>
      <c r="H252" s="20"/>
      <c r="J252" s="19"/>
    </row>
    <row r="253" spans="1:8" s="25" customFormat="1" ht="12.75">
      <c r="A253" s="20"/>
      <c r="B253" s="20"/>
      <c r="C253" s="20"/>
      <c r="D253" s="20"/>
      <c r="E253" s="159"/>
      <c r="F253" s="96"/>
      <c r="G253" s="20"/>
      <c r="H253" s="20"/>
    </row>
    <row r="254" spans="1:8" s="65" customFormat="1" ht="12.75">
      <c r="A254" s="1"/>
      <c r="B254" s="1" t="s">
        <v>183</v>
      </c>
      <c r="C254" s="1"/>
      <c r="D254" s="1"/>
      <c r="E254" s="162"/>
      <c r="F254" s="97">
        <f>SUM(F243:F251)</f>
        <v>0</v>
      </c>
      <c r="G254" s="1"/>
      <c r="H254" s="1"/>
    </row>
    <row r="255" spans="1:8" s="25" customFormat="1" ht="12.75">
      <c r="A255" s="20"/>
      <c r="B255" s="20" t="s">
        <v>184</v>
      </c>
      <c r="C255" s="20"/>
      <c r="D255" s="20"/>
      <c r="E255" s="159"/>
      <c r="F255" s="98">
        <f>F254*0.21</f>
        <v>0</v>
      </c>
      <c r="G255" s="20"/>
      <c r="H255" s="20"/>
    </row>
    <row r="256" spans="1:8" s="65" customFormat="1" ht="15.75">
      <c r="A256" s="1"/>
      <c r="B256" s="99" t="s">
        <v>185</v>
      </c>
      <c r="C256" s="1"/>
      <c r="D256" s="1"/>
      <c r="E256" s="162"/>
      <c r="F256" s="100">
        <f>SUM(F254:F255)</f>
        <v>0</v>
      </c>
      <c r="G256" s="1"/>
      <c r="H256" s="1"/>
    </row>
    <row r="262" ht="12.75">
      <c r="F262" s="101"/>
    </row>
  </sheetData>
  <sheetProtection password="CFD1" sheet="1" objects="1" scenarios="1"/>
  <mergeCells count="1">
    <mergeCell ref="A1:C1"/>
  </mergeCells>
  <printOptions/>
  <pageMargins left="0.7874015748031497" right="0.7874015748031497" top="1.1811023622047245" bottom="0.984251968503937" header="0.5118110236220472" footer="0.5118110236220472"/>
  <pageSetup firstPageNumber="2" useFirstPageNumber="1" fitToHeight="0" fitToWidth="1" horizontalDpi="600" verticalDpi="600" orientation="landscape" paperSize="9" scale="99" r:id="rId2"/>
  <headerFooter alignWithMargins="0">
    <oddHeader>&amp;L
Revitalizace parků a zahrad Kraje Vysočina 
u objektu Gymnázia Havlíčkův Brod
&amp;12
&amp;C
POLOŽKOVÝ ROZPOČET
ZPŮSOBILÉ VÝDAJE&amp;R&amp;G</oddHeader>
    <oddFooter>&amp;L&amp;P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tabSelected="1" zoomScale="98" zoomScaleNormal="98" zoomScaleSheetLayoutView="100" workbookViewId="0" topLeftCell="A1">
      <selection activeCell="F6" sqref="F6"/>
    </sheetView>
  </sheetViews>
  <sheetFormatPr defaultColWidth="9.00390625" defaultRowHeight="12.75"/>
  <cols>
    <col min="1" max="1" width="11.125" style="0" bestFit="1" customWidth="1"/>
    <col min="2" max="2" width="45.625" style="0" customWidth="1"/>
    <col min="4" max="4" width="15.00390625" style="0" customWidth="1"/>
    <col min="5" max="5" width="12.25390625" style="163" bestFit="1" customWidth="1"/>
    <col min="6" max="6" width="16.75390625" style="0" bestFit="1" customWidth="1"/>
    <col min="7" max="7" width="10.875" style="0" bestFit="1" customWidth="1"/>
    <col min="8" max="8" width="10.625" style="0" customWidth="1"/>
  </cols>
  <sheetData>
    <row r="1" spans="1:57" s="20" customFormat="1" ht="12.75">
      <c r="A1" s="147" t="s">
        <v>22</v>
      </c>
      <c r="B1" s="147"/>
      <c r="C1" s="147"/>
      <c r="D1" s="124" t="s">
        <v>23</v>
      </c>
      <c r="E1" s="148" t="s">
        <v>24</v>
      </c>
      <c r="F1" s="18" t="s">
        <v>25</v>
      </c>
      <c r="G1" s="18" t="s">
        <v>26</v>
      </c>
      <c r="H1" s="18" t="s">
        <v>27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8" s="25" customFormat="1" ht="12.75">
      <c r="A2" s="21" t="s">
        <v>28</v>
      </c>
      <c r="B2" s="22" t="s">
        <v>29</v>
      </c>
      <c r="C2" s="23" t="s">
        <v>30</v>
      </c>
      <c r="D2" s="21" t="s">
        <v>30</v>
      </c>
      <c r="E2" s="149" t="s">
        <v>31</v>
      </c>
      <c r="F2" s="24" t="s">
        <v>31</v>
      </c>
      <c r="G2" s="24" t="s">
        <v>32</v>
      </c>
      <c r="H2" s="24" t="s">
        <v>32</v>
      </c>
    </row>
    <row r="3" spans="1:8" s="25" customFormat="1" ht="27.75">
      <c r="A3" s="76"/>
      <c r="B3" s="69" t="s">
        <v>186</v>
      </c>
      <c r="C3" s="78"/>
      <c r="D3" s="79"/>
      <c r="E3" s="158"/>
      <c r="F3" s="80"/>
      <c r="G3" s="33"/>
      <c r="H3" s="33"/>
    </row>
    <row r="4" spans="1:8" s="25" customFormat="1" ht="15">
      <c r="A4" s="76" t="s">
        <v>34</v>
      </c>
      <c r="B4" s="69"/>
      <c r="C4" s="78"/>
      <c r="D4" s="79"/>
      <c r="E4" s="158"/>
      <c r="F4" s="80"/>
      <c r="G4" s="33"/>
      <c r="H4" s="33"/>
    </row>
    <row r="5" spans="1:15" s="83" customFormat="1" ht="65.25">
      <c r="A5" s="138" t="s">
        <v>250</v>
      </c>
      <c r="B5" s="102" t="s">
        <v>295</v>
      </c>
      <c r="C5" s="138" t="s">
        <v>296</v>
      </c>
      <c r="D5" s="138">
        <v>7</v>
      </c>
      <c r="E5" s="151"/>
      <c r="F5" s="29">
        <f>D5*E5</f>
        <v>0</v>
      </c>
      <c r="G5" s="33">
        <v>0</v>
      </c>
      <c r="H5" s="33">
        <f>G5*D5</f>
        <v>0</v>
      </c>
      <c r="M5" s="25"/>
      <c r="N5" s="25"/>
      <c r="O5" s="25"/>
    </row>
    <row r="6" spans="1:8" s="25" customFormat="1" ht="38.25">
      <c r="A6" s="51" t="s">
        <v>187</v>
      </c>
      <c r="B6" s="102" t="s">
        <v>297</v>
      </c>
      <c r="C6" s="30" t="s">
        <v>40</v>
      </c>
      <c r="D6" s="103">
        <v>0.64</v>
      </c>
      <c r="E6" s="151"/>
      <c r="F6" s="29">
        <f>D6*E6</f>
        <v>0</v>
      </c>
      <c r="G6" s="33">
        <v>0</v>
      </c>
      <c r="H6" s="33">
        <f>G6*D6</f>
        <v>0</v>
      </c>
    </row>
    <row r="7" spans="1:8" s="25" customFormat="1" ht="51">
      <c r="A7" s="51" t="s">
        <v>188</v>
      </c>
      <c r="B7" s="102" t="s">
        <v>298</v>
      </c>
      <c r="C7" s="30" t="s">
        <v>40</v>
      </c>
      <c r="D7" s="103">
        <f>SUM(0.096+0.06)</f>
        <v>0.156</v>
      </c>
      <c r="E7" s="151"/>
      <c r="F7" s="29">
        <f>D7*E7</f>
        <v>0</v>
      </c>
      <c r="G7" s="33">
        <v>0</v>
      </c>
      <c r="H7" s="33">
        <v>0</v>
      </c>
    </row>
    <row r="8" spans="1:8" s="25" customFormat="1" ht="51">
      <c r="A8" s="51" t="s">
        <v>37</v>
      </c>
      <c r="B8" s="34" t="s">
        <v>247</v>
      </c>
      <c r="C8" s="30" t="s">
        <v>36</v>
      </c>
      <c r="D8" s="103">
        <v>9</v>
      </c>
      <c r="E8" s="151"/>
      <c r="F8" s="29">
        <f>D8*E8</f>
        <v>0</v>
      </c>
      <c r="G8" s="33">
        <v>0</v>
      </c>
      <c r="H8" s="33">
        <v>0</v>
      </c>
    </row>
    <row r="9" spans="1:8" s="25" customFormat="1" ht="15">
      <c r="A9" s="76" t="s">
        <v>167</v>
      </c>
      <c r="B9" s="104"/>
      <c r="C9" s="20"/>
      <c r="D9" s="82"/>
      <c r="E9" s="159"/>
      <c r="F9" s="20"/>
      <c r="G9" s="20"/>
      <c r="H9" s="20"/>
    </row>
    <row r="10" spans="1:12" s="25" customFormat="1" ht="66" customHeight="1">
      <c r="A10" s="51" t="s">
        <v>37</v>
      </c>
      <c r="B10" s="102" t="s">
        <v>299</v>
      </c>
      <c r="C10" s="30" t="s">
        <v>189</v>
      </c>
      <c r="D10" s="103">
        <f>(D6*0.4)+(D5*0.15)</f>
        <v>1.306</v>
      </c>
      <c r="E10" s="151"/>
      <c r="F10" s="29">
        <f>D10*E10</f>
        <v>0</v>
      </c>
      <c r="G10" s="33">
        <v>0</v>
      </c>
      <c r="H10" s="33">
        <f>G10*D10</f>
        <v>0</v>
      </c>
      <c r="L10" s="117"/>
    </row>
    <row r="11" spans="1:8" s="25" customFormat="1" ht="38.25">
      <c r="A11" s="76" t="s">
        <v>252</v>
      </c>
      <c r="B11" s="34" t="s">
        <v>300</v>
      </c>
      <c r="C11" s="30" t="s">
        <v>36</v>
      </c>
      <c r="D11" s="76">
        <v>2</v>
      </c>
      <c r="E11" s="151"/>
      <c r="F11" s="29">
        <f>D11*E11</f>
        <v>0</v>
      </c>
      <c r="G11" s="33">
        <v>0</v>
      </c>
      <c r="H11" s="33">
        <f>G11*D11</f>
        <v>0</v>
      </c>
    </row>
    <row r="12" spans="1:8" s="25" customFormat="1" ht="25.5">
      <c r="A12" s="76" t="s">
        <v>253</v>
      </c>
      <c r="B12" s="34" t="s">
        <v>301</v>
      </c>
      <c r="C12" s="30" t="s">
        <v>51</v>
      </c>
      <c r="D12" s="76">
        <v>2</v>
      </c>
      <c r="E12" s="151"/>
      <c r="F12" s="29">
        <f aca="true" t="shared" si="0" ref="F12:F13">D12*E12</f>
        <v>0</v>
      </c>
      <c r="G12" s="33">
        <v>0</v>
      </c>
      <c r="H12" s="33">
        <f aca="true" t="shared" si="1" ref="H12:H13">G12*D12</f>
        <v>0</v>
      </c>
    </row>
    <row r="13" spans="1:8" s="25" customFormat="1" ht="12.75">
      <c r="A13" s="76" t="s">
        <v>254</v>
      </c>
      <c r="B13" s="34" t="s">
        <v>255</v>
      </c>
      <c r="C13" s="30" t="s">
        <v>32</v>
      </c>
      <c r="D13" s="76">
        <f>D12*0.55</f>
        <v>1.1</v>
      </c>
      <c r="E13" s="151"/>
      <c r="F13" s="29">
        <f t="shared" si="0"/>
        <v>0</v>
      </c>
      <c r="G13" s="33">
        <v>0</v>
      </c>
      <c r="H13" s="33">
        <f t="shared" si="1"/>
        <v>0</v>
      </c>
    </row>
    <row r="14" spans="1:8" s="25" customFormat="1" ht="38.25">
      <c r="A14" s="76" t="s">
        <v>190</v>
      </c>
      <c r="B14" s="34" t="s">
        <v>302</v>
      </c>
      <c r="C14" s="30" t="s">
        <v>36</v>
      </c>
      <c r="D14" s="76">
        <v>2</v>
      </c>
      <c r="E14" s="151"/>
      <c r="F14" s="29">
        <f>D14*E14</f>
        <v>0</v>
      </c>
      <c r="G14" s="33">
        <v>0</v>
      </c>
      <c r="H14" s="33">
        <f>G14*D14</f>
        <v>0</v>
      </c>
    </row>
    <row r="15" spans="1:8" s="37" customFormat="1" ht="12.75">
      <c r="A15" s="76"/>
      <c r="B15" s="34"/>
      <c r="C15" s="35"/>
      <c r="D15" s="128"/>
      <c r="E15" s="151"/>
      <c r="F15" s="29"/>
      <c r="G15" s="33"/>
      <c r="H15" s="33"/>
    </row>
    <row r="16" spans="1:8" s="25" customFormat="1" ht="12.75">
      <c r="A16" s="38" t="s">
        <v>191</v>
      </c>
      <c r="B16" s="39"/>
      <c r="C16" s="40"/>
      <c r="D16" s="41"/>
      <c r="E16" s="153"/>
      <c r="F16" s="42">
        <f>SUM(F5:F14)</f>
        <v>0</v>
      </c>
      <c r="G16" s="43"/>
      <c r="H16" s="64">
        <f>SUM(H5:H14)</f>
        <v>0</v>
      </c>
    </row>
    <row r="17" spans="1:8" s="25" customFormat="1" ht="12.75">
      <c r="A17" s="76"/>
      <c r="B17" s="34"/>
      <c r="C17" s="30"/>
      <c r="D17" s="76"/>
      <c r="E17" s="151"/>
      <c r="F17" s="29"/>
      <c r="G17" s="33"/>
      <c r="H17" s="33"/>
    </row>
    <row r="18" spans="1:8" s="25" customFormat="1" ht="12.75">
      <c r="A18" s="38" t="s">
        <v>126</v>
      </c>
      <c r="B18" s="39"/>
      <c r="C18" s="40"/>
      <c r="D18" s="41"/>
      <c r="E18" s="153"/>
      <c r="F18" s="42">
        <f>F16</f>
        <v>0</v>
      </c>
      <c r="G18" s="43"/>
      <c r="H18" s="43">
        <f>H16</f>
        <v>0</v>
      </c>
    </row>
    <row r="19" spans="1:8" s="37" customFormat="1" ht="12.75">
      <c r="A19" s="76"/>
      <c r="B19" s="34"/>
      <c r="C19" s="30"/>
      <c r="D19" s="76"/>
      <c r="E19" s="151"/>
      <c r="F19" s="29"/>
      <c r="G19" s="33"/>
      <c r="H19" s="33"/>
    </row>
    <row r="20" spans="1:8" s="37" customFormat="1" ht="12.75">
      <c r="A20" s="139"/>
      <c r="B20" s="140"/>
      <c r="C20" s="141"/>
      <c r="D20" s="142"/>
      <c r="E20" s="164"/>
      <c r="F20" s="62"/>
      <c r="G20" s="75"/>
      <c r="H20" s="75"/>
    </row>
    <row r="21" spans="1:10" s="37" customFormat="1" ht="12.75">
      <c r="A21" s="38"/>
      <c r="B21" s="39"/>
      <c r="C21" s="40"/>
      <c r="D21" s="41"/>
      <c r="E21" s="153"/>
      <c r="F21" s="42"/>
      <c r="G21" s="43"/>
      <c r="H21" s="43"/>
      <c r="J21" s="107"/>
    </row>
    <row r="22" spans="1:10" s="37" customFormat="1" ht="12.75">
      <c r="A22" s="38"/>
      <c r="B22" s="39"/>
      <c r="C22" s="40"/>
      <c r="D22" s="41"/>
      <c r="E22" s="153"/>
      <c r="F22" s="42"/>
      <c r="G22" s="43"/>
      <c r="H22" s="43"/>
      <c r="J22" s="107"/>
    </row>
    <row r="23" spans="1:8" s="37" customFormat="1" ht="12.75">
      <c r="A23" s="38"/>
      <c r="B23" s="39"/>
      <c r="C23" s="40"/>
      <c r="D23" s="41"/>
      <c r="E23" s="153"/>
      <c r="F23" s="42"/>
      <c r="G23" s="33"/>
      <c r="H23" s="33"/>
    </row>
    <row r="24" spans="1:8" s="25" customFormat="1" ht="15.75">
      <c r="A24" s="20"/>
      <c r="B24" s="93" t="s">
        <v>205</v>
      </c>
      <c r="C24" s="20"/>
      <c r="D24" s="20"/>
      <c r="E24" s="159"/>
      <c r="F24" s="20"/>
      <c r="G24" s="20"/>
      <c r="H24" s="20"/>
    </row>
    <row r="25" spans="1:8" s="25" customFormat="1" ht="12.75">
      <c r="A25" s="20"/>
      <c r="B25" s="20" t="s">
        <v>182</v>
      </c>
      <c r="C25" s="20"/>
      <c r="D25" s="20"/>
      <c r="E25" s="159"/>
      <c r="F25" s="97">
        <f>F18</f>
        <v>0</v>
      </c>
      <c r="G25" s="20"/>
      <c r="H25" s="20"/>
    </row>
    <row r="26" spans="1:12" s="25" customFormat="1" ht="51">
      <c r="A26" s="20"/>
      <c r="B26" s="113" t="s">
        <v>293</v>
      </c>
      <c r="C26" s="20"/>
      <c r="D26" s="20"/>
      <c r="E26" s="159"/>
      <c r="F26" s="29">
        <f>IF('Způsobilé výdaje'!F246&gt;('Způsobilé výdaje'!F243+'Způsobilé výdaje'!F244),'Způsobilé výdaje'!F246-('Způsobilé výdaje'!F243+'Způsobilé výdaje'!F244),0)</f>
        <v>0</v>
      </c>
      <c r="G26" s="20"/>
      <c r="H26" s="20"/>
      <c r="J26" s="116"/>
      <c r="K26" s="116"/>
      <c r="L26" s="117"/>
    </row>
    <row r="27" spans="1:12" s="37" customFormat="1" ht="89.25">
      <c r="A27" s="20"/>
      <c r="B27" s="113" t="s">
        <v>294</v>
      </c>
      <c r="C27" s="20"/>
      <c r="D27" s="20"/>
      <c r="E27" s="159"/>
      <c r="F27" s="29">
        <f>IF('Způsobilé výdaje'!F146&gt;((('Způsobilé výdaje'!F243+'Způsobilé výdaje'!F244)*0.2)-'Způsobilé výdaje'!F246),'Způsobilé výdaje'!F146-((('Způsobilé výdaje'!F243+'Způsobilé výdaje'!F244)*0.2)-'Způsobilé výdaje'!F246),0)</f>
        <v>0</v>
      </c>
      <c r="G27" s="20"/>
      <c r="H27" s="20"/>
      <c r="J27" s="116"/>
      <c r="K27" s="119"/>
      <c r="L27" s="121"/>
    </row>
    <row r="28" spans="1:12" s="25" customFormat="1" ht="51">
      <c r="A28" s="20"/>
      <c r="B28" s="113" t="s">
        <v>268</v>
      </c>
      <c r="C28" s="20"/>
      <c r="D28" s="20"/>
      <c r="E28" s="159"/>
      <c r="F28" s="29">
        <f>IF('Způsobilé výdaje'!F163&gt;(('Způsobilé výdaje'!F243+'Způsobilé výdaje'!F244)*0.2),'Způsobilé výdaje'!F163-(('Způsobilé výdaje'!F243+'Způsobilé výdaje'!F244)*0.2),0)</f>
        <v>0</v>
      </c>
      <c r="G28" s="20"/>
      <c r="H28" s="20"/>
      <c r="J28" s="116"/>
      <c r="K28" s="120"/>
      <c r="L28" s="117"/>
    </row>
    <row r="29" spans="1:11" s="37" customFormat="1" ht="51">
      <c r="A29" s="20"/>
      <c r="B29" s="94" t="s">
        <v>303</v>
      </c>
      <c r="C29" s="20"/>
      <c r="D29" s="20"/>
      <c r="E29" s="159"/>
      <c r="F29" s="111">
        <f>IF('Způsobilé výdaje'!F183&gt;(('Způsobilé výdaje'!F243+'Způsobilé výdaje'!F244+'Způsobilé výdaje'!F245+'Způsobilé výdaje'!F246+'Způsobilé výdaje'!F247+'Způsobilé výdaje'!F248)*0.2),'Způsobilé výdaje'!F183-(('Způsobilé výdaje'!F243+'Způsobilé výdaje'!F244+'Způsobilé výdaje'!F245+'Způsobilé výdaje'!F246+'Způsobilé výdaje'!F247+'Způsobilé výdaje'!F248)*0.2),0)</f>
        <v>0</v>
      </c>
      <c r="G29" s="20"/>
      <c r="H29" s="20"/>
      <c r="K29" s="122"/>
    </row>
    <row r="30" spans="1:12" s="25" customFormat="1" ht="38.25">
      <c r="A30" s="20"/>
      <c r="B30" s="113" t="s">
        <v>269</v>
      </c>
      <c r="C30" s="20"/>
      <c r="D30" s="20"/>
      <c r="E30" s="159"/>
      <c r="F30" s="29">
        <f>IF('Způsobilé výdaje'!F208&gt;(('Způsobilé výdaje'!F243+'Způsobilé výdaje'!F244+'Způsobilé výdaje'!F245+'Způsobilé výdaje'!F246+'Způsobilé výdaje'!F247+'Způsobilé výdaje'!F248)*0.2),'Způsobilé výdaje'!F208-(('Způsobilé výdaje'!F243+'Způsobilé výdaje'!F244+'Způsobilé výdaje'!F245+'Způsobilé výdaje'!F246+'Způsobilé výdaje'!F247+'Způsobilé výdaje'!F248)*0.2),0)</f>
        <v>0</v>
      </c>
      <c r="G30" s="20"/>
      <c r="H30" s="20"/>
      <c r="J30" s="116"/>
      <c r="K30" s="120"/>
      <c r="L30" s="117"/>
    </row>
    <row r="31" spans="1:8" s="37" customFormat="1" ht="12.75">
      <c r="A31" s="20"/>
      <c r="B31" s="20"/>
      <c r="C31" s="20"/>
      <c r="D31" s="20"/>
      <c r="E31" s="159"/>
      <c r="F31" s="98"/>
      <c r="G31" s="20"/>
      <c r="H31" s="20"/>
    </row>
    <row r="32" spans="1:8" s="65" customFormat="1" ht="12.75">
      <c r="A32" s="1"/>
      <c r="B32" s="1" t="s">
        <v>183</v>
      </c>
      <c r="C32" s="1"/>
      <c r="D32" s="1"/>
      <c r="E32" s="162"/>
      <c r="F32" s="112">
        <f>SUM(F25:F30)</f>
        <v>0</v>
      </c>
      <c r="G32" s="1"/>
      <c r="H32" s="1"/>
    </row>
    <row r="33" spans="1:8" s="25" customFormat="1" ht="12.75">
      <c r="A33" s="20"/>
      <c r="B33" s="20" t="s">
        <v>184</v>
      </c>
      <c r="C33" s="20"/>
      <c r="D33" s="20"/>
      <c r="E33" s="159"/>
      <c r="F33" s="98">
        <f>F32*0.21</f>
        <v>0</v>
      </c>
      <c r="G33" s="20"/>
      <c r="H33" s="20"/>
    </row>
    <row r="34" spans="1:8" s="65" customFormat="1" ht="15.75">
      <c r="A34" s="1"/>
      <c r="B34" s="99" t="s">
        <v>185</v>
      </c>
      <c r="C34" s="1"/>
      <c r="D34" s="1"/>
      <c r="E34" s="162"/>
      <c r="F34" s="100">
        <f>SUM(F32:F33)</f>
        <v>0</v>
      </c>
      <c r="G34" s="1"/>
      <c r="H34" s="1"/>
    </row>
  </sheetData>
  <sheetProtection password="CFD1" sheet="1" objects="1" scenarios="1"/>
  <mergeCells count="1">
    <mergeCell ref="A1:C1"/>
  </mergeCells>
  <printOptions/>
  <pageMargins left="0.7874015748031497" right="0.7874015748031497" top="1.1811023622047245" bottom="0.984251968503937" header="0.5118110236220472" footer="0.5118110236220472"/>
  <pageSetup firstPageNumber="18" useFirstPageNumber="1" fitToHeight="0" fitToWidth="1" horizontalDpi="600" verticalDpi="600" orientation="landscape" paperSize="9" r:id="rId2"/>
  <headerFooter alignWithMargins="0">
    <oddHeader>&amp;L
Revitalizace parků a zahrad Kraje Vysočina 
u objektu Gymnázia Havlíčkův Brod
&amp;12
&amp;C
POLOŽKOVÝ ROZPOČET
NEZPŮSOBILÉ VÝDAJE&amp;R&amp;G</oddHeader>
    <oddFooter>&amp;L&amp;P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9"/>
  <sheetViews>
    <sheetView zoomScaleSheetLayoutView="100" workbookViewId="0" topLeftCell="A1">
      <selection activeCell="D5" sqref="D5"/>
    </sheetView>
  </sheetViews>
  <sheetFormatPr defaultColWidth="9.00390625" defaultRowHeight="12.75"/>
  <cols>
    <col min="1" max="1" width="11.125" style="0" bestFit="1" customWidth="1"/>
    <col min="2" max="2" width="45.625" style="0" customWidth="1"/>
    <col min="4" max="4" width="15.00390625" style="127" customWidth="1"/>
    <col min="5" max="5" width="12.25390625" style="168" bestFit="1" customWidth="1"/>
    <col min="6" max="6" width="15.00390625" style="0" customWidth="1"/>
    <col min="7" max="7" width="10.875" style="0" bestFit="1" customWidth="1"/>
    <col min="8" max="8" width="10.625" style="0" customWidth="1"/>
    <col min="11" max="11" width="13.125" style="0" bestFit="1" customWidth="1"/>
    <col min="12" max="12" width="11.375" style="0" bestFit="1" customWidth="1"/>
  </cols>
  <sheetData>
    <row r="3" spans="1:58" s="20" customFormat="1" ht="12.75">
      <c r="A3" s="147" t="s">
        <v>22</v>
      </c>
      <c r="B3" s="147"/>
      <c r="C3" s="147"/>
      <c r="D3" s="124" t="s">
        <v>23</v>
      </c>
      <c r="E3" s="148" t="s">
        <v>24</v>
      </c>
      <c r="F3" s="18" t="s">
        <v>25</v>
      </c>
      <c r="G3" s="18" t="s">
        <v>26</v>
      </c>
      <c r="H3" s="18" t="s">
        <v>27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</row>
    <row r="4" spans="1:8" s="25" customFormat="1" ht="12.75">
      <c r="A4" s="21" t="s">
        <v>28</v>
      </c>
      <c r="B4" s="22" t="s">
        <v>29</v>
      </c>
      <c r="C4" s="23" t="s">
        <v>30</v>
      </c>
      <c r="D4" s="21" t="s">
        <v>30</v>
      </c>
      <c r="E4" s="149" t="s">
        <v>31</v>
      </c>
      <c r="F4" s="24" t="s">
        <v>31</v>
      </c>
      <c r="G4" s="24" t="s">
        <v>32</v>
      </c>
      <c r="H4" s="24" t="s">
        <v>32</v>
      </c>
    </row>
    <row r="5" spans="1:8" ht="38.25">
      <c r="A5" s="20"/>
      <c r="B5" s="113" t="s">
        <v>206</v>
      </c>
      <c r="C5" s="113" t="s">
        <v>207</v>
      </c>
      <c r="D5" s="26">
        <v>0.31</v>
      </c>
      <c r="E5" s="165"/>
      <c r="F5" s="28">
        <f>E5*D5</f>
        <v>0</v>
      </c>
      <c r="G5" s="20"/>
      <c r="H5" s="20"/>
    </row>
    <row r="6" spans="1:8" s="25" customFormat="1" ht="12.75">
      <c r="A6" s="20"/>
      <c r="B6" s="20"/>
      <c r="C6" s="20"/>
      <c r="D6" s="125"/>
      <c r="E6" s="166"/>
      <c r="F6" s="96"/>
      <c r="G6" s="20"/>
      <c r="H6" s="20"/>
    </row>
    <row r="7" spans="1:8" s="65" customFormat="1" ht="12.75">
      <c r="A7" s="1"/>
      <c r="B7" s="1" t="s">
        <v>183</v>
      </c>
      <c r="C7" s="1"/>
      <c r="D7" s="126"/>
      <c r="E7" s="167"/>
      <c r="F7" s="97">
        <f>SUM(F5:F6)</f>
        <v>0</v>
      </c>
      <c r="G7" s="1"/>
      <c r="H7" s="1"/>
    </row>
    <row r="8" spans="1:8" s="25" customFormat="1" ht="12.75">
      <c r="A8" s="20"/>
      <c r="B8" s="20" t="s">
        <v>184</v>
      </c>
      <c r="C8" s="20"/>
      <c r="D8" s="125"/>
      <c r="E8" s="166"/>
      <c r="F8" s="98">
        <f>F7*0.21</f>
        <v>0</v>
      </c>
      <c r="G8" s="20"/>
      <c r="H8" s="20"/>
    </row>
    <row r="9" spans="1:8" s="65" customFormat="1" ht="15.75">
      <c r="A9" s="1"/>
      <c r="B9" s="99" t="s">
        <v>185</v>
      </c>
      <c r="C9" s="1"/>
      <c r="D9" s="126"/>
      <c r="E9" s="167"/>
      <c r="F9" s="100">
        <f>SUM(F7:F8)</f>
        <v>0</v>
      </c>
      <c r="G9" s="1"/>
      <c r="H9" s="1"/>
    </row>
  </sheetData>
  <sheetProtection password="CFD1" sheet="1" objects="1" scenarios="1"/>
  <mergeCells count="1">
    <mergeCell ref="A3:C3"/>
  </mergeCells>
  <printOptions/>
  <pageMargins left="0.7874015748031497" right="0.7874015748031497" top="1.1811023622047245" bottom="0.984251968503937" header="0.5118110236220472" footer="0.5118110236220472"/>
  <pageSetup firstPageNumber="21" useFirstPageNumber="1" fitToHeight="0" fitToWidth="1" horizontalDpi="600" verticalDpi="600" orientation="landscape" paperSize="9" r:id="rId2"/>
  <headerFooter alignWithMargins="0">
    <oddHeader>&amp;L
Revitalizace parků a zahrad Kraje Vysočina 
u objektu Gymnázia Havlíčkův Brod
&amp;12
&amp;C
ROZPOČET
VEDLEJŠÍ ROZPOČTOVÉNÁKLADY&amp;R&amp;G</oddHeader>
    <oddFooter>&amp;L&amp;P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m</cp:lastModifiedBy>
  <cp:lastPrinted>2019-05-02T11:45:07Z</cp:lastPrinted>
  <dcterms:created xsi:type="dcterms:W3CDTF">2009-08-24T14:07:26Z</dcterms:created>
  <dcterms:modified xsi:type="dcterms:W3CDTF">2020-06-10T08:47:35Z</dcterms:modified>
  <cp:category/>
  <cp:version/>
  <cp:contentType/>
  <cp:contentStatus/>
</cp:coreProperties>
</file>