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Stavební rozpočet" sheetId="1" r:id="rId1"/>
    <sheet name="Rozpočet - Jen objekty celkem" sheetId="2" r:id="rId2"/>
    <sheet name="Krycí list rozpočtu" sheetId="3" r:id="rId3"/>
  </sheets>
  <definedNames/>
  <calcPr fullCalcOnLoad="1"/>
</workbook>
</file>

<file path=xl/sharedStrings.xml><?xml version="1.0" encoding="utf-8"?>
<sst xmlns="http://schemas.openxmlformats.org/spreadsheetml/2006/main" count="859" uniqueCount="321">
  <si>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</si>
  <si>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</si>
  <si>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</si>
  <si>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</si>
  <si>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</si>
  <si>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</si>
  <si>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</si>
  <si>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</si>
  <si>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</si>
  <si>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</si>
  <si>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</si>
  <si>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</si>
  <si>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</si>
  <si>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</si>
  <si>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</si>
  <si>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</si>
  <si>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</si>
  <si>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</si>
  <si>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</si>
  <si>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</si>
  <si>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</si>
  <si>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</si>
  <si>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</si>
  <si>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</si>
  <si>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</si>
  <si>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</si>
  <si>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</si>
  <si>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</si>
  <si>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</si>
  <si>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</si>
  <si>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</si>
  <si>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</si>
  <si>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</si>
  <si>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</si>
  <si>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</si>
  <si>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</si>
  <si>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</si>
  <si>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</si>
  <si>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</si>
  <si>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</si>
  <si>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</si>
  <si>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</si>
  <si>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</si>
  <si>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</si>
  <si>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</si>
  <si>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</si>
  <si>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</si>
  <si>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</si>
  <si>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</si>
  <si>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</si>
  <si>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</si>
  <si>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</si>
  <si>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</si>
  <si>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</si>
  <si>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</si>
  <si>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</si>
  <si>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</si>
  <si>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</si>
  <si>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</si>
  <si>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Poznámka:</t>
  </si>
  <si>
    <t>Objekt</t>
  </si>
  <si>
    <t>SO 01</t>
  </si>
  <si>
    <t>SO 02</t>
  </si>
  <si>
    <t>Kód</t>
  </si>
  <si>
    <t>113107330R00</t>
  </si>
  <si>
    <t>113106121R00</t>
  </si>
  <si>
    <t>121101100R00</t>
  </si>
  <si>
    <t>122201101R00</t>
  </si>
  <si>
    <t>131201110R00</t>
  </si>
  <si>
    <t>132201110R00</t>
  </si>
  <si>
    <t>139601102R00</t>
  </si>
  <si>
    <t>162201102R00</t>
  </si>
  <si>
    <t>174101101R00</t>
  </si>
  <si>
    <t>58125110</t>
  </si>
  <si>
    <t>162601102R00</t>
  </si>
  <si>
    <t>174101102R00</t>
  </si>
  <si>
    <t>180402111R00</t>
  </si>
  <si>
    <t>00572410</t>
  </si>
  <si>
    <t>182001111R00</t>
  </si>
  <si>
    <t>182101101R00</t>
  </si>
  <si>
    <t>199000002R00</t>
  </si>
  <si>
    <t>215901101RT5</t>
  </si>
  <si>
    <t>271531113R00</t>
  </si>
  <si>
    <t>274313611R00</t>
  </si>
  <si>
    <t>274351215R00</t>
  </si>
  <si>
    <t>274351216R00</t>
  </si>
  <si>
    <t>275313611R00</t>
  </si>
  <si>
    <t>275351215R00</t>
  </si>
  <si>
    <t>275351216R00</t>
  </si>
  <si>
    <t>59</t>
  </si>
  <si>
    <t>564201111R00</t>
  </si>
  <si>
    <t>564281111R00</t>
  </si>
  <si>
    <t>564851111RT2</t>
  </si>
  <si>
    <t>591211111R00</t>
  </si>
  <si>
    <t>58380120</t>
  </si>
  <si>
    <t>596811111R00</t>
  </si>
  <si>
    <t>89</t>
  </si>
  <si>
    <t>899331111R00</t>
  </si>
  <si>
    <t>91</t>
  </si>
  <si>
    <t>113202111R00</t>
  </si>
  <si>
    <t>917461111R00</t>
  </si>
  <si>
    <t>918101111R00</t>
  </si>
  <si>
    <t>58380373</t>
  </si>
  <si>
    <t>998223011R00</t>
  </si>
  <si>
    <t>S</t>
  </si>
  <si>
    <t>979081111R00</t>
  </si>
  <si>
    <t>979081121R00</t>
  </si>
  <si>
    <t>979082111R00</t>
  </si>
  <si>
    <t>979086112R00</t>
  </si>
  <si>
    <t>979990103R00</t>
  </si>
  <si>
    <t>03VRN</t>
  </si>
  <si>
    <t>030001VRN</t>
  </si>
  <si>
    <t>767</t>
  </si>
  <si>
    <t>767. 1VD</t>
  </si>
  <si>
    <t>767. 2VD</t>
  </si>
  <si>
    <t>767. 3VD</t>
  </si>
  <si>
    <t>767. 4VD</t>
  </si>
  <si>
    <t>767. 5VD</t>
  </si>
  <si>
    <t>767. 6VD</t>
  </si>
  <si>
    <t>767. 7VD</t>
  </si>
  <si>
    <t>767. 8VD</t>
  </si>
  <si>
    <t>767. 9VD</t>
  </si>
  <si>
    <t>Přístřešek na kola</t>
  </si>
  <si>
    <t>Zkrácený popis</t>
  </si>
  <si>
    <t>Rozměry</t>
  </si>
  <si>
    <t>Přístřešek na kola - spodní stavba</t>
  </si>
  <si>
    <t>Hloubené vykopávky</t>
  </si>
  <si>
    <t>Odstranění podkladu pl. 50 m2,kam.těžené tl.30 cm</t>
  </si>
  <si>
    <t>15*0,5</t>
  </si>
  <si>
    <t>Rozebrání dlažeb z betonových dlaždic na sucho</t>
  </si>
  <si>
    <t>Sejmutí ornice, pl. do 400 m2, přemístění do 50 m</t>
  </si>
  <si>
    <t>105*0,15</t>
  </si>
  <si>
    <t>Odkopávky nezapažené v hor. 3 do 100 m3</t>
  </si>
  <si>
    <t>Hloubení nezapaž. jam hor.3 do 50 m3, STROJNĚ</t>
  </si>
  <si>
    <t>70*0,15</t>
  </si>
  <si>
    <t>70*0,3</t>
  </si>
  <si>
    <t>Hloubení rýh š.do 60 cm v hor.3 do 50 m3, STROJNĚ</t>
  </si>
  <si>
    <t>(2*0,5*0,31)*3</t>
  </si>
  <si>
    <t>(0,5*0,075*0,31)*2</t>
  </si>
  <si>
    <t>Ruční výkop jam, rýh a šachet v hornině tř. 3</t>
  </si>
  <si>
    <t>0,5</t>
  </si>
  <si>
    <t>Vodorovné přemístění výkopku z hor.1-4 do 50 m</t>
  </si>
  <si>
    <t>27+0,95325+0,5</t>
  </si>
  <si>
    <t>Zásyp jam, rýh, šachet se zhutněním</t>
  </si>
  <si>
    <t>-(0,5*2*0,6)*3</t>
  </si>
  <si>
    <t>-(0,075*0,5*0,6)*2</t>
  </si>
  <si>
    <t>Zemina vhodná na sanaci podloží</t>
  </si>
  <si>
    <t>19,155*1,85</t>
  </si>
  <si>
    <t>Vodorovné přemístění výkopku z hor.1-4 do 5000 m</t>
  </si>
  <si>
    <t>19,155+5</t>
  </si>
  <si>
    <t>Zásyp ruční se zhutněním</t>
  </si>
  <si>
    <t>34,7*0,5</t>
  </si>
  <si>
    <t>Založení trávníku parkového výsevem v rovině</t>
  </si>
  <si>
    <t>Směs travní parková II. mírná zátěž PROFI</t>
  </si>
  <si>
    <t>Plošná úprava terénu, nerovnosti do 10 cm v rovině</t>
  </si>
  <si>
    <t>Svahování v zářezech v hor. 1 - 4</t>
  </si>
  <si>
    <t>Poplatek za skládku horniny 1- 4</t>
  </si>
  <si>
    <t>Základy</t>
  </si>
  <si>
    <t>Zhutnění podloží z hornin nesoudržných do 92% PS</t>
  </si>
  <si>
    <t>Polštář základu z kameniva hr. drceného 16-32 mm</t>
  </si>
  <si>
    <t>Beton základových pasů prostý C 16/20</t>
  </si>
  <si>
    <t>Bednění stěn základových pasů - zřízení</t>
  </si>
  <si>
    <t>Bednění stěn základových pasů - odstranění</t>
  </si>
  <si>
    <t>Beton základových patek prostý C 16/20</t>
  </si>
  <si>
    <t>Bednění stěn základových patek - zřízení</t>
  </si>
  <si>
    <t>Bednění stěn základových patek - odstranění</t>
  </si>
  <si>
    <t>Kryty pozemních komunikací, letišť a ploch dlážděných (předlažby)</t>
  </si>
  <si>
    <t>Podklad ze štěrkopísku po zhutnění tloušťky 4 cm</t>
  </si>
  <si>
    <t>Podklad ze štěrkopísku po zhutnění tloušťky 30 cm</t>
  </si>
  <si>
    <t>Podklad ze štěrkodrti po zhutnění tloušťky 15 cm</t>
  </si>
  <si>
    <t>Kladení dlažby drobné kostky,lože z kamen.tl. 5 cm</t>
  </si>
  <si>
    <t>Kostka dlažební drobná 8/10  tř.1</t>
  </si>
  <si>
    <t>70*1,05/5</t>
  </si>
  <si>
    <t>Kladení dlaždic kom.pro pěší, lože z kameniva těž.</t>
  </si>
  <si>
    <t>Ostatní konstrukce a práce na trubním vedení</t>
  </si>
  <si>
    <t>Výšková úprava vstupu do 20 cm, výškové usazení stávaj. poklopu, úprava beton. obruby</t>
  </si>
  <si>
    <t>Doplňující konstrukce a práce na pozemních komunikacích a zpevněných plochách</t>
  </si>
  <si>
    <t>Vytrhání obrub obrubníků silničních</t>
  </si>
  <si>
    <t>Osaz. stoj. obrub. kam. s opěrou, lože z C 12/15</t>
  </si>
  <si>
    <t>Lože pod obrubníky nebo obruby dlažeb z C 12/15</t>
  </si>
  <si>
    <t>34,7*0,2*0,2</t>
  </si>
  <si>
    <t>Obrubník kamenný žula přímý  100x10x20 cm</t>
  </si>
  <si>
    <t>Přesun hmot, pozemní komunikace, kryt dlážděný</t>
  </si>
  <si>
    <t>Přesuny sutí</t>
  </si>
  <si>
    <t>Odvoz suti a vybour. hmot na skládku do 1 km</t>
  </si>
  <si>
    <t>Příplatek k odvozu za každý další 1 km</t>
  </si>
  <si>
    <t>11,241*4</t>
  </si>
  <si>
    <t>Vnitrostaveništní doprava suti do 10 m</t>
  </si>
  <si>
    <t>Nakládání nebo překládání suti a vybouraných hmot</t>
  </si>
  <si>
    <t>Poplatek za uložení suti</t>
  </si>
  <si>
    <t>VORN - Vedlejší a ostatní rozpočtové náklady</t>
  </si>
  <si>
    <t>Zařízení staveniště</t>
  </si>
  <si>
    <t>Přístřešek na kola - dodávka a montáž mobiliáře</t>
  </si>
  <si>
    <t>Konstrukce doplňkové stavební (zámečnické)</t>
  </si>
  <si>
    <t>Montáž přístřešku na kola, vrtání, chemie, kotvící materiál</t>
  </si>
  <si>
    <t>Montáž prvků na zpevněný podklad</t>
  </si>
  <si>
    <t>Doprava, manipulace, balné</t>
  </si>
  <si>
    <t>Doba výstavby:</t>
  </si>
  <si>
    <t>Začátek výstavby:</t>
  </si>
  <si>
    <t>Konec výstavby:</t>
  </si>
  <si>
    <t>Zpracováno dne:</t>
  </si>
  <si>
    <t>Objednatel:</t>
  </si>
  <si>
    <t>Projektant:</t>
  </si>
  <si>
    <t>Zhotovitel:</t>
  </si>
  <si>
    <t>Zpracoval:</t>
  </si>
  <si>
    <t> </t>
  </si>
  <si>
    <t>okapový chodník</t>
  </si>
  <si>
    <t>úprava svahu severní část</t>
  </si>
  <si>
    <t>zpevněné plochy</t>
  </si>
  <si>
    <t>sanace podloží</t>
  </si>
  <si>
    <t>dočištění</t>
  </si>
  <si>
    <t>obrubníky</t>
  </si>
  <si>
    <t>lože základ</t>
  </si>
  <si>
    <t>MJ</t>
  </si>
  <si>
    <t>m2</t>
  </si>
  <si>
    <t>m3</t>
  </si>
  <si>
    <t>t</t>
  </si>
  <si>
    <t>kg</t>
  </si>
  <si>
    <t>kus</t>
  </si>
  <si>
    <t>m</t>
  </si>
  <si>
    <t>Soubor</t>
  </si>
  <si>
    <t>ks</t>
  </si>
  <si>
    <t>soubor</t>
  </si>
  <si>
    <t>Množství</t>
  </si>
  <si>
    <t>Cena/MJ</t>
  </si>
  <si>
    <t>(Kč)</t>
  </si>
  <si>
    <t>Náklady (Kč)</t>
  </si>
  <si>
    <t>Celkem</t>
  </si>
  <si>
    <t>Přesuny</t>
  </si>
  <si>
    <t>Typ skupiny</t>
  </si>
  <si>
    <t>HSV mat</t>
  </si>
  <si>
    <t>HSV prac</t>
  </si>
  <si>
    <t>PSV mat</t>
  </si>
  <si>
    <t>PSV prac</t>
  </si>
  <si>
    <t>Mont mat</t>
  </si>
  <si>
    <t>Mont prac</t>
  </si>
  <si>
    <t>Ostatní mat.</t>
  </si>
  <si>
    <t>99</t>
  </si>
  <si>
    <t>13_</t>
  </si>
  <si>
    <t>27_</t>
  </si>
  <si>
    <t>59_</t>
  </si>
  <si>
    <t>89_</t>
  </si>
  <si>
    <t>91_</t>
  </si>
  <si>
    <t>S_</t>
  </si>
  <si>
    <t>03VRN_</t>
  </si>
  <si>
    <t>767_</t>
  </si>
  <si>
    <t>SO 01_1_</t>
  </si>
  <si>
    <t>SO 01_2_</t>
  </si>
  <si>
    <t>SO 01_5_</t>
  </si>
  <si>
    <t>SO 01_8_</t>
  </si>
  <si>
    <t>SO 01_9_</t>
  </si>
  <si>
    <t>SO 01_ _</t>
  </si>
  <si>
    <t>SO 02_76_</t>
  </si>
  <si>
    <t>SO 01_</t>
  </si>
  <si>
    <t>SO 02_</t>
  </si>
  <si>
    <t>MAT</t>
  </si>
  <si>
    <t>WORK</t>
  </si>
  <si>
    <t>CELK</t>
  </si>
  <si>
    <t>ISWORK</t>
  </si>
  <si>
    <t>P</t>
  </si>
  <si>
    <t>M</t>
  </si>
  <si>
    <t>GROUPCODE</t>
  </si>
  <si>
    <t>Slepý stavební rozpočet - Jen objekty celkem</t>
  </si>
  <si>
    <t>Celkem:</t>
  </si>
  <si>
    <t>F</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</si>
  <si>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</si>
  <si>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</si>
  <si>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</si>
  <si>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</si>
  <si>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</si>
  <si>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</si>
  <si>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</si>
  <si>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</si>
  <si>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</si>
  <si>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</si>
  <si>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</si>
  <si>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</si>
  <si>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</si>
  <si>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</si>
  <si>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</si>
  <si>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Montáž</t>
  </si>
  <si>
    <t>Krycí list slepého rozpočtu</t>
  </si>
  <si>
    <t>B</t>
  </si>
  <si>
    <t>Práce přesčas</t>
  </si>
  <si>
    <t>Bez pevné podl.</t>
  </si>
  <si>
    <t>Kulturní památka</t>
  </si>
  <si>
    <t>DN celkem</t>
  </si>
  <si>
    <t>DN celkem z obj.</t>
  </si>
  <si>
    <t>DPH 15%</t>
  </si>
  <si>
    <t>DPH 21%</t>
  </si>
  <si>
    <t>Objednatel</t>
  </si>
  <si>
    <t>Doplňkové náklady</t>
  </si>
  <si>
    <t>C</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</si>
  <si>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</si>
  <si>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</si>
  <si>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</si>
  <si>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</si>
  <si>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</si>
  <si>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</si>
  <si>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</si>
  <si>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</si>
  <si>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</si>
  <si>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</si>
  <si>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</si>
  <si>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</si>
  <si>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</si>
  <si>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</si>
  <si>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</si>
  <si>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</si>
  <si>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70890749/</t>
  </si>
  <si>
    <t>0</t>
  </si>
  <si>
    <t>VOŠ a SPŠ Žďár nad Sázavou</t>
  </si>
  <si>
    <t>Cyklomobiliář VOŠ a SPŠ Žďár nad Sázavou</t>
  </si>
  <si>
    <t>Skutečný rozměr základů a způsob kotvení upřesní dodavatel v rozpočtu dle skutečně osazovaného mobiliáře.</t>
  </si>
  <si>
    <t>Příloha č. 1 Výzvy - VZ - Cyklomobiliář VOŠ a SPŠ Žďár nad Sázavou - Soupis dodávek a prací</t>
  </si>
  <si>
    <t>Dodávka - Cyklopřístřešek min. délka 6000 mm, konstrukce ocel. Zn, prášková barva vypalovaná, odstíny RAL tmavě šedé (dle následné dohody), bočnice a střecha – výplň - bezpečnostní tvrzené sklo.</t>
  </si>
  <si>
    <t>Dodávka - Stojan na kola pro minimálně 20 kol, výška minimálně 700 mm, konstrukce ocel. Zn, prášková barva vypalovaná, odstíny RAL tmavě šedé (dle následné dohody).</t>
  </si>
  <si>
    <t>Dodávka - Odpadkový koš, výška 800 mm, konstrukce ocel Zn, prášková barva vypalovaná, odstíny RAL tmavě šedé (dle následné dohody), obložení tropické/tvrdé dřevo, uvnitř koše vyjímatelná polypropylenová nádoba min. tl. 5 mm o objemu min. 50 litrů.</t>
  </si>
  <si>
    <t>Dodávka - Lavička s opěrákem, nosná konstrukce nese dřevěné latě připevněné ke konstrukci nerezovými vruty, min. délka 1800 mm, min. výška 800 mm, ocel. Zn, prášková barva vypalovaná, odstíny RAL tmavě šedé (dle následné dohody). Konstrukce nese obložení tropické/tvrdé dřevo z latí o tl. min. 20 mm.</t>
  </si>
  <si>
    <t>Dodávka - Stůl min. délka 1800 mm, konstrukce ocel. Zn, prášková barva vypalovaná, odstín RAL tmavě šedé (dle následné dohody), deska z latí tropické/tvrdé dřevo tl. min. 20 mm.</t>
  </si>
  <si>
    <t xml:space="preserve">Dodávka - Samostatně stojící servisní stojan na kola určený pro veřejné prostory, konstrukce nerezová nebo galvanizovaná ocel, držák kol min. 1000 mm nad povrchem. Vybavení – nářadí uvnitř stojanu, servisní pumpa s ochranným krytem, manometrem a univerzální hlavicí. Ve spodní části je ukončen deskou pro uchycení k podkladu.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</si>
</sst>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dd/mm/yy"/>
    <numFmt numFmtId="167" formatCode="dd\.mmmm\.yy"/>
    <numFmt numFmtId="168" formatCode="#,##0.00000"/>
    <numFmt numFmtId="169" formatCode="&quot;Yes&quot;;&quot;Yes&quot;;&quot;No&quot;"/>
    <numFmt numFmtId="170" formatCode="&quot;True&quot;;&quot;True&quot;;&quot;False&quot;"/>
    <numFmt numFmtId="171" formatCode="&quot;On&quot;;&quot;On&quot;;&quot;Off&quot;"/>
    <numFmt numFmtId="172" formatCode="[$¥€-2]\ #\ ##,000_);[Red]\([$€-2]\ #\ ##,000\)"/>
  </numFmts>
  <fonts count="50">
    <font>
      <sz val="10"/>
      <name val="Arial"/>
      <family val="0"/>
    </font>
    <font>
      <sz val="10"/>
      <color indexed="8"/>
      <name val="Arial"/>
      <family val="0"/>
    </font>
    <font>
      <sz val="18"/>
      <color indexed="8"/>
      <name val="Arial"/>
      <family val="0"/>
    </font>
    <font>
      <b/>
      <sz val="10"/>
      <color indexed="8"/>
      <name val="Arial"/>
      <family val="0"/>
    </font>
    <font>
      <sz val="10"/>
      <color indexed="54"/>
      <name val="Arial"/>
      <family val="0"/>
    </font>
    <font>
      <sz val="10"/>
      <color indexed="56"/>
      <name val="Arial"/>
      <family val="0"/>
    </font>
    <font>
      <sz val="10"/>
      <color indexed="61"/>
      <name val="Arial"/>
      <family val="0"/>
    </font>
    <font>
      <sz val="10"/>
      <color indexed="62"/>
      <name val="Arial"/>
      <family val="0"/>
    </font>
    <font>
      <i/>
      <sz val="8"/>
      <color indexed="8"/>
      <name val="Arial"/>
      <family val="0"/>
    </font>
    <font>
      <b/>
      <sz val="10"/>
      <color indexed="54"/>
      <name val="Arial"/>
      <family val="0"/>
    </font>
    <font>
      <b/>
      <sz val="10"/>
      <color indexed="56"/>
      <name val="Arial"/>
      <family val="0"/>
    </font>
    <font>
      <i/>
      <sz val="10"/>
      <color indexed="63"/>
      <name val="Arial"/>
      <family val="0"/>
    </font>
    <font>
      <i/>
      <sz val="10"/>
      <color indexed="50"/>
      <name val="Arial"/>
      <family val="0"/>
    </font>
    <font>
      <b/>
      <sz val="18"/>
      <color indexed="8"/>
      <name val="Arial"/>
      <family val="0"/>
    </font>
    <font>
      <b/>
      <sz val="20"/>
      <color indexed="8"/>
      <name val="Arial"/>
      <family val="0"/>
    </font>
    <font>
      <b/>
      <sz val="12"/>
      <color indexed="8"/>
      <name val="Arial"/>
      <family val="0"/>
    </font>
    <font>
      <sz val="12"/>
      <color indexed="8"/>
      <name val="Arial"/>
      <family val="0"/>
    </font>
    <font>
      <b/>
      <sz val="11"/>
      <color indexed="8"/>
      <name val="Arial"/>
      <family val="0"/>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49"/>
      <name val="Calibri"/>
      <family val="2"/>
    </font>
    <font>
      <b/>
      <sz val="13"/>
      <color indexed="49"/>
      <name val="Calibri"/>
      <family val="2"/>
    </font>
    <font>
      <b/>
      <sz val="11"/>
      <color indexed="49"/>
      <name val="Calibri"/>
      <family val="2"/>
    </font>
    <font>
      <b/>
      <sz val="18"/>
      <color indexed="49"/>
      <name val="Cambria"/>
      <family val="2"/>
    </font>
    <font>
      <sz val="11"/>
      <color indexed="19"/>
      <name val="Calibri"/>
      <family val="2"/>
    </font>
    <font>
      <sz val="11"/>
      <color indexed="10"/>
      <name val="Calibri"/>
      <family val="2"/>
    </font>
    <font>
      <sz val="11"/>
      <color indexed="17"/>
      <name val="Calibri"/>
      <family val="2"/>
    </font>
    <font>
      <sz val="11"/>
      <color indexed="20"/>
      <name val="Calibri"/>
      <family val="2"/>
    </font>
    <font>
      <sz val="11"/>
      <color indexed="23"/>
      <name val="Calibri"/>
      <family val="2"/>
    </font>
    <font>
      <b/>
      <sz val="11"/>
      <color indexed="10"/>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57"/>
        <bgColor indexed="64"/>
      </patternFill>
    </fill>
    <fill>
      <patternFill patternType="solid">
        <fgColor indexed="22"/>
        <bgColor indexed="64"/>
      </patternFill>
    </fill>
    <fill>
      <patternFill patternType="solid">
        <fgColor rgb="FFFFFF00"/>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style="medium"/>
    </border>
    <border>
      <left style="thin"/>
      <right/>
      <top style="medium"/>
      <bottom/>
    </border>
    <border>
      <left style="thin"/>
      <right/>
      <top/>
      <bottom/>
    </border>
    <border>
      <left style="thin"/>
      <right/>
      <top/>
      <bottom style="thin"/>
    </border>
    <border>
      <left/>
      <right/>
      <top style="thin"/>
      <bottom/>
    </border>
    <border>
      <left style="thin"/>
      <right style="thin"/>
      <top style="medium"/>
      <bottom/>
    </border>
    <border>
      <left style="thin"/>
      <right style="thin"/>
      <top/>
      <bottom style="medium"/>
    </border>
    <border>
      <left/>
      <right/>
      <top style="medium"/>
      <bottom/>
    </border>
    <border>
      <left/>
      <right/>
      <top/>
      <bottom style="thin"/>
    </border>
    <border>
      <left style="thin"/>
      <right style="medium"/>
      <top style="medium"/>
      <bottom/>
    </border>
    <border>
      <left style="medium"/>
      <right style="medium"/>
      <top style="medium"/>
      <bottom/>
    </border>
    <border>
      <left style="thin"/>
      <right style="medium"/>
      <top/>
      <bottom style="medium"/>
    </border>
    <border>
      <left/>
      <right style="thin"/>
      <top/>
      <bottom/>
    </border>
    <border>
      <left style="medium"/>
      <right/>
      <top/>
      <bottom/>
    </border>
    <border>
      <left/>
      <right style="thin"/>
      <top style="medium"/>
      <bottom/>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style="thin"/>
      <top style="thin"/>
      <bottom style="medium"/>
    </border>
    <border>
      <left style="thin"/>
      <right/>
      <top style="thin"/>
      <bottom style="thin"/>
    </border>
    <border>
      <left/>
      <right style="thin"/>
      <top style="thin"/>
      <bottom style="thin"/>
    </border>
    <border>
      <left style="thin"/>
      <right/>
      <top/>
      <bottom style="medium"/>
    </border>
    <border>
      <left/>
      <right/>
      <top/>
      <bottom style="medium"/>
    </border>
    <border>
      <left/>
      <right style="thin"/>
      <top/>
      <bottom style="medium"/>
    </border>
    <border>
      <left style="thin"/>
      <right/>
      <top style="thin"/>
      <bottom/>
    </border>
    <border>
      <left/>
      <right style="medium"/>
      <top style="medium"/>
      <bottom/>
    </border>
    <border>
      <left/>
      <right style="medium"/>
      <top/>
      <bottom/>
    </border>
    <border>
      <left style="medium"/>
      <right/>
      <top/>
      <bottom style="medium"/>
    </border>
    <border>
      <left/>
      <right style="medium"/>
      <top/>
      <bottom style="medium"/>
    </border>
    <border>
      <left/>
      <right/>
      <top style="thin"/>
      <bottom style="thin"/>
    </border>
    <border>
      <left style="medium"/>
      <right/>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ont="0" applyFill="0" applyBorder="0" applyAlignment="0" applyProtection="0"/>
    <xf numFmtId="0" fontId="1" fillId="0" borderId="0">
      <alignment vertical="center"/>
      <protection locked="0"/>
    </xf>
    <xf numFmtId="0" fontId="36" fillId="20" borderId="2" applyNumberFormat="0" applyAlignment="0" applyProtection="0"/>
    <xf numFmtId="165" fontId="0" fillId="0" borderId="0" applyFont="0" applyFill="0" applyBorder="0" applyAlignment="0" applyProtection="0"/>
    <xf numFmtId="165"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22" borderId="6" applyNumberFormat="0" applyFont="0" applyAlignment="0" applyProtection="0"/>
    <xf numFmtId="165" fontId="0" fillId="0" borderId="0" applyFont="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55">
    <xf numFmtId="0" fontId="1" fillId="0" borderId="0" xfId="0" applyFont="1" applyAlignment="1">
      <alignment vertical="center"/>
    </xf>
    <xf numFmtId="49" fontId="3" fillId="0" borderId="10" xfId="0" applyNumberFormat="1" applyFont="1" applyFill="1" applyBorder="1" applyAlignment="1" applyProtection="1">
      <alignment horizontal="left" vertical="center"/>
      <protection/>
    </xf>
    <xf numFmtId="49" fontId="1" fillId="0" borderId="11" xfId="0" applyNumberFormat="1" applyFont="1" applyFill="1" applyBorder="1" applyAlignment="1" applyProtection="1">
      <alignment horizontal="left" vertical="center"/>
      <protection/>
    </xf>
    <xf numFmtId="49" fontId="4" fillId="33" borderId="12" xfId="0" applyNumberFormat="1" applyFont="1" applyFill="1" applyBorder="1" applyAlignment="1" applyProtection="1">
      <alignment horizontal="left" vertical="center"/>
      <protection/>
    </xf>
    <xf numFmtId="49" fontId="5" fillId="34" borderId="13" xfId="0" applyNumberFormat="1" applyFont="1" applyFill="1" applyBorder="1" applyAlignment="1" applyProtection="1">
      <alignment horizontal="left" vertical="center"/>
      <protection/>
    </xf>
    <xf numFmtId="49" fontId="6" fillId="0" borderId="1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vertical="center"/>
      <protection/>
    </xf>
    <xf numFmtId="49" fontId="7" fillId="0" borderId="13"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protection/>
    </xf>
    <xf numFmtId="49" fontId="6" fillId="0" borderId="14"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left" vertical="center"/>
      <protection/>
    </xf>
    <xf numFmtId="49" fontId="1" fillId="0" borderId="17" xfId="0" applyNumberFormat="1" applyFont="1" applyFill="1" applyBorder="1" applyAlignment="1" applyProtection="1">
      <alignment horizontal="left" vertical="center"/>
      <protection/>
    </xf>
    <xf numFmtId="49" fontId="9" fillId="33" borderId="18"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protection/>
    </xf>
    <xf numFmtId="49" fontId="6" fillId="0" borderId="19" xfId="0" applyNumberFormat="1" applyFont="1" applyFill="1" applyBorder="1" applyAlignment="1" applyProtection="1">
      <alignment horizontal="left" vertical="center"/>
      <protection/>
    </xf>
    <xf numFmtId="49" fontId="11"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left" vertical="center"/>
      <protection/>
    </xf>
    <xf numFmtId="49" fontId="4" fillId="33" borderId="18" xfId="0" applyNumberFormat="1" applyFont="1" applyFill="1" applyBorder="1" applyAlignment="1" applyProtection="1">
      <alignment horizontal="left" vertical="center"/>
      <protection/>
    </xf>
    <xf numFmtId="49" fontId="5" fillId="34"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left" vertical="center"/>
      <protection/>
    </xf>
    <xf numFmtId="49" fontId="3" fillId="0" borderId="16"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right" vertical="center"/>
      <protection/>
    </xf>
    <xf numFmtId="4" fontId="7" fillId="0" borderId="0" xfId="0" applyNumberFormat="1" applyFont="1" applyFill="1" applyBorder="1" applyAlignment="1" applyProtection="1">
      <alignment horizontal="right" vertical="center"/>
      <protection/>
    </xf>
    <xf numFmtId="4" fontId="6" fillId="0" borderId="19" xfId="0" applyNumberFormat="1" applyFont="1" applyFill="1" applyBorder="1" applyAlignment="1" applyProtection="1">
      <alignment horizontal="right" vertical="center"/>
      <protection/>
    </xf>
    <xf numFmtId="49" fontId="3" fillId="0" borderId="2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21" xfId="0" applyNumberFormat="1" applyFont="1" applyFill="1" applyBorder="1" applyAlignment="1" applyProtection="1">
      <alignment horizontal="center" vertical="center"/>
      <protection/>
    </xf>
    <xf numFmtId="49" fontId="3" fillId="0" borderId="22"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vertical="center"/>
      <protection/>
    </xf>
    <xf numFmtId="0" fontId="1" fillId="0" borderId="24" xfId="0" applyNumberFormat="1" applyFont="1" applyFill="1" applyBorder="1" applyAlignment="1" applyProtection="1">
      <alignment vertical="center"/>
      <protection/>
    </xf>
    <xf numFmtId="49" fontId="10" fillId="34"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49" fontId="7"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 fontId="9" fillId="33" borderId="25" xfId="0" applyNumberFormat="1" applyFont="1" applyFill="1" applyBorder="1" applyAlignment="1" applyProtection="1">
      <alignment horizontal="right" vertical="center"/>
      <protection/>
    </xf>
    <xf numFmtId="4" fontId="10" fillId="34" borderId="23" xfId="0" applyNumberFormat="1" applyFont="1" applyFill="1" applyBorder="1" applyAlignment="1" applyProtection="1">
      <alignment horizontal="right" vertical="center"/>
      <protection/>
    </xf>
    <xf numFmtId="4" fontId="6" fillId="0" borderId="23" xfId="0" applyNumberFormat="1" applyFont="1" applyFill="1" applyBorder="1" applyAlignment="1" applyProtection="1">
      <alignment horizontal="right" vertical="center"/>
      <protection/>
    </xf>
    <xf numFmtId="4" fontId="7" fillId="0" borderId="23" xfId="0" applyNumberFormat="1" applyFont="1" applyFill="1" applyBorder="1" applyAlignment="1" applyProtection="1">
      <alignment horizontal="right" vertical="center"/>
      <protection/>
    </xf>
    <xf numFmtId="4" fontId="9" fillId="33" borderId="23" xfId="0" applyNumberFormat="1" applyFont="1" applyFill="1" applyBorder="1" applyAlignment="1" applyProtection="1">
      <alignment horizontal="right" vertical="center"/>
      <protection/>
    </xf>
    <xf numFmtId="4" fontId="6" fillId="0" borderId="26" xfId="0" applyNumberFormat="1" applyFont="1" applyFill="1" applyBorder="1" applyAlignment="1" applyProtection="1">
      <alignment horizontal="right" vertical="center"/>
      <protection/>
    </xf>
    <xf numFmtId="4" fontId="3" fillId="0" borderId="15" xfId="0" applyNumberFormat="1" applyFont="1" applyFill="1" applyBorder="1" applyAlignment="1" applyProtection="1">
      <alignment horizontal="right" vertical="center"/>
      <protection/>
    </xf>
    <xf numFmtId="4" fontId="10" fillId="34" borderId="0"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49" fontId="3" fillId="0" borderId="11" xfId="0" applyNumberFormat="1" applyFont="1" applyFill="1" applyBorder="1" applyAlignment="1" applyProtection="1">
      <alignment horizontal="left" vertical="center"/>
      <protection/>
    </xf>
    <xf numFmtId="49" fontId="1" fillId="0" borderId="12" xfId="0" applyNumberFormat="1" applyFont="1" applyFill="1" applyBorder="1" applyAlignment="1" applyProtection="1">
      <alignment horizontal="left" vertical="center"/>
      <protection/>
    </xf>
    <xf numFmtId="49" fontId="1" fillId="0" borderId="14" xfId="0" applyNumberFormat="1" applyFont="1" applyFill="1" applyBorder="1" applyAlignment="1" applyProtection="1">
      <alignment horizontal="left" vertical="center"/>
      <protection/>
    </xf>
    <xf numFmtId="4" fontId="1" fillId="0" borderId="13" xfId="0" applyNumberFormat="1" applyFont="1" applyFill="1" applyBorder="1" applyAlignment="1" applyProtection="1">
      <alignment horizontal="right" vertical="center"/>
      <protection/>
    </xf>
    <xf numFmtId="4" fontId="1" fillId="0" borderId="25" xfId="0" applyNumberFormat="1" applyFont="1" applyFill="1" applyBorder="1" applyAlignment="1" applyProtection="1">
      <alignment horizontal="right" vertical="center"/>
      <protection/>
    </xf>
    <xf numFmtId="4" fontId="1" fillId="0" borderId="26" xfId="0"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vertical="center"/>
      <protection/>
    </xf>
    <xf numFmtId="49" fontId="14" fillId="35" borderId="27" xfId="0" applyNumberFormat="1" applyFont="1" applyFill="1" applyBorder="1" applyAlignment="1" applyProtection="1">
      <alignment horizontal="center" vertical="center"/>
      <protection/>
    </xf>
    <xf numFmtId="49" fontId="15" fillId="0" borderId="28" xfId="0" applyNumberFormat="1" applyFont="1" applyFill="1" applyBorder="1" applyAlignment="1" applyProtection="1">
      <alignment horizontal="left" vertical="center"/>
      <protection/>
    </xf>
    <xf numFmtId="49" fontId="15" fillId="0" borderId="29"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vertical="center"/>
      <protection/>
    </xf>
    <xf numFmtId="49" fontId="8" fillId="0" borderId="18" xfId="0" applyNumberFormat="1" applyFont="1" applyFill="1" applyBorder="1" applyAlignment="1" applyProtection="1">
      <alignment horizontal="left" vertical="center"/>
      <protection/>
    </xf>
    <xf numFmtId="49" fontId="16" fillId="0" borderId="27"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vertical="center"/>
      <protection/>
    </xf>
    <xf numFmtId="0" fontId="1" fillId="0" borderId="31" xfId="0" applyNumberFormat="1" applyFont="1" applyFill="1" applyBorder="1" applyAlignment="1" applyProtection="1">
      <alignment vertical="center"/>
      <protection/>
    </xf>
    <xf numFmtId="0" fontId="1" fillId="0" borderId="14" xfId="0" applyNumberFormat="1" applyFont="1" applyFill="1" applyBorder="1" applyAlignment="1" applyProtection="1">
      <alignment vertical="center"/>
      <protection/>
    </xf>
    <xf numFmtId="4" fontId="16" fillId="0" borderId="27" xfId="0" applyNumberFormat="1" applyFont="1" applyFill="1" applyBorder="1" applyAlignment="1" applyProtection="1">
      <alignment horizontal="right" vertical="center"/>
      <protection/>
    </xf>
    <xf numFmtId="49" fontId="16" fillId="0" borderId="27" xfId="0" applyNumberFormat="1" applyFont="1" applyFill="1" applyBorder="1" applyAlignment="1" applyProtection="1">
      <alignment horizontal="right" vertical="center"/>
      <protection/>
    </xf>
    <xf numFmtId="4" fontId="16" fillId="0" borderId="32" xfId="0" applyNumberFormat="1" applyFont="1" applyFill="1" applyBorder="1" applyAlignment="1" applyProtection="1">
      <alignment horizontal="right" vertical="center"/>
      <protection/>
    </xf>
    <xf numFmtId="0" fontId="1" fillId="0" borderId="25" xfId="0" applyNumberFormat="1" applyFont="1" applyFill="1" applyBorder="1" applyAlignment="1" applyProtection="1">
      <alignment vertical="center"/>
      <protection/>
    </xf>
    <xf numFmtId="0" fontId="1" fillId="0" borderId="33" xfId="0" applyNumberFormat="1" applyFont="1" applyFill="1" applyBorder="1" applyAlignment="1" applyProtection="1">
      <alignment vertical="center"/>
      <protection/>
    </xf>
    <xf numFmtId="4" fontId="15" fillId="35" borderId="34" xfId="0" applyNumberFormat="1" applyFont="1" applyFill="1" applyBorder="1" applyAlignment="1" applyProtection="1">
      <alignment horizontal="right" vertical="center"/>
      <protection/>
    </xf>
    <xf numFmtId="0" fontId="1" fillId="0" borderId="19" xfId="0" applyNumberFormat="1" applyFont="1" applyFill="1" applyBorder="1" applyAlignment="1" applyProtection="1">
      <alignment/>
      <protection/>
    </xf>
    <xf numFmtId="168" fontId="6" fillId="0" borderId="0" xfId="0" applyNumberFormat="1" applyFont="1" applyFill="1" applyBorder="1" applyAlignment="1" applyProtection="1">
      <alignment horizontal="right" vertical="center"/>
      <protection/>
    </xf>
    <xf numFmtId="168" fontId="11" fillId="0" borderId="0" xfId="0" applyNumberFormat="1" applyFont="1" applyFill="1" applyBorder="1" applyAlignment="1" applyProtection="1">
      <alignment horizontal="right" vertical="center"/>
      <protection/>
    </xf>
    <xf numFmtId="168" fontId="7" fillId="0" borderId="0" xfId="0" applyNumberFormat="1" applyFont="1" applyFill="1" applyBorder="1" applyAlignment="1" applyProtection="1">
      <alignment horizontal="right" vertical="center"/>
      <protection/>
    </xf>
    <xf numFmtId="168" fontId="6" fillId="0" borderId="19" xfId="0" applyNumberFormat="1" applyFont="1" applyFill="1" applyBorder="1" applyAlignment="1" applyProtection="1">
      <alignment horizontal="right" vertical="center"/>
      <protection/>
    </xf>
    <xf numFmtId="49" fontId="11" fillId="36" borderId="0" xfId="0" applyNumberFormat="1" applyFont="1" applyFill="1" applyBorder="1" applyAlignment="1" applyProtection="1">
      <alignment horizontal="left" vertical="center"/>
      <protection/>
    </xf>
    <xf numFmtId="0" fontId="1" fillId="36" borderId="0" xfId="0" applyFont="1" applyFill="1" applyAlignment="1">
      <alignment vertical="center"/>
    </xf>
    <xf numFmtId="168" fontId="6" fillId="36" borderId="0" xfId="0" applyNumberFormat="1" applyFont="1" applyFill="1" applyBorder="1" applyAlignment="1" applyProtection="1">
      <alignment horizontal="right" vertical="center"/>
      <protection/>
    </xf>
    <xf numFmtId="168" fontId="11" fillId="36"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49" fontId="6" fillId="0" borderId="19"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protection/>
    </xf>
    <xf numFmtId="0" fontId="9" fillId="33" borderId="0" xfId="0" applyNumberFormat="1" applyFont="1" applyFill="1" applyBorder="1" applyAlignment="1" applyProtection="1">
      <alignment horizontal="left" vertical="center"/>
      <protection/>
    </xf>
    <xf numFmtId="49" fontId="10" fillId="34" borderId="0" xfId="0" applyNumberFormat="1" applyFont="1" applyFill="1" applyBorder="1" applyAlignment="1" applyProtection="1">
      <alignment horizontal="left" vertical="center"/>
      <protection/>
    </xf>
    <xf numFmtId="0" fontId="10" fillId="34"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49" fontId="7"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protection/>
    </xf>
    <xf numFmtId="0" fontId="3" fillId="0" borderId="25" xfId="0" applyNumberFormat="1" applyFont="1" applyFill="1" applyBorder="1" applyAlignment="1" applyProtection="1">
      <alignment horizontal="left" vertical="center"/>
      <protection/>
    </xf>
    <xf numFmtId="49" fontId="3" fillId="0" borderId="35" xfId="0" applyNumberFormat="1" applyFont="1" applyFill="1" applyBorder="1" applyAlignment="1" applyProtection="1">
      <alignment horizontal="left" vertical="center"/>
      <protection/>
    </xf>
    <xf numFmtId="0" fontId="3" fillId="0" borderId="36" xfId="0" applyNumberFormat="1" applyFont="1" applyFill="1" applyBorder="1" applyAlignment="1" applyProtection="1">
      <alignment horizontal="left" vertical="center"/>
      <protection/>
    </xf>
    <xf numFmtId="0" fontId="3" fillId="0" borderId="37" xfId="0" applyNumberFormat="1" applyFont="1" applyFill="1" applyBorder="1" applyAlignment="1" applyProtection="1">
      <alignment horizontal="left" vertical="center"/>
      <protection/>
    </xf>
    <xf numFmtId="49" fontId="9" fillId="33" borderId="18" xfId="0" applyNumberFormat="1" applyFont="1" applyFill="1" applyBorder="1" applyAlignment="1" applyProtection="1">
      <alignment horizontal="left" vertical="center"/>
      <protection/>
    </xf>
    <xf numFmtId="0" fontId="9" fillId="33" borderId="18"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0" fontId="1" fillId="0" borderId="35" xfId="0" applyNumberFormat="1" applyFont="1" applyFill="1" applyBorder="1" applyAlignment="1" applyProtection="1">
      <alignment horizontal="left" vertical="center"/>
      <protection/>
    </xf>
    <xf numFmtId="0" fontId="1" fillId="0" borderId="36"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left" vertical="center"/>
      <protection/>
    </xf>
    <xf numFmtId="0" fontId="1" fillId="0" borderId="37"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protection/>
    </xf>
    <xf numFmtId="49" fontId="16" fillId="0" borderId="19" xfId="0" applyNumberFormat="1" applyFont="1" applyFill="1" applyBorder="1" applyAlignment="1" applyProtection="1">
      <alignment horizontal="center" wrapText="1"/>
      <protection/>
    </xf>
    <xf numFmtId="0" fontId="2" fillId="0" borderId="19" xfId="0" applyNumberFormat="1" applyFont="1" applyFill="1" applyBorder="1" applyAlignment="1" applyProtection="1">
      <alignment horizontal="center" vertical="center" wrapText="1"/>
      <protection/>
    </xf>
    <xf numFmtId="0" fontId="1" fillId="0" borderId="38" xfId="0" applyNumberFormat="1" applyFont="1" applyFill="1" applyBorder="1" applyAlignment="1" applyProtection="1">
      <alignment horizontal="left" vertical="center" wrapText="1"/>
      <protection/>
    </xf>
    <xf numFmtId="0" fontId="1" fillId="0" borderId="15"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49" fontId="1" fillId="0" borderId="15" xfId="0" applyNumberFormat="1" applyFont="1" applyFill="1" applyBorder="1" applyAlignment="1" applyProtection="1">
      <alignment horizontal="left" vertical="center"/>
      <protection/>
    </xf>
    <xf numFmtId="0" fontId="1" fillId="0" borderId="15" xfId="0" applyNumberFormat="1" applyFont="1" applyFill="1" applyBorder="1" applyAlignment="1" applyProtection="1">
      <alignment horizontal="left" vertical="center" wrapText="1"/>
      <protection/>
    </xf>
    <xf numFmtId="0" fontId="1" fillId="0" borderId="31" xfId="0" applyNumberFormat="1" applyFont="1" applyFill="1" applyBorder="1" applyAlignment="1" applyProtection="1">
      <alignment horizontal="left" vertical="center"/>
      <protection/>
    </xf>
    <xf numFmtId="49" fontId="1" fillId="0" borderId="12" xfId="0" applyNumberFormat="1" applyFont="1" applyFill="1" applyBorder="1" applyAlignment="1" applyProtection="1">
      <alignment horizontal="left" vertical="center"/>
      <protection/>
    </xf>
    <xf numFmtId="0" fontId="1" fillId="0" borderId="18"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49" fontId="1" fillId="0" borderId="18" xfId="0" applyNumberFormat="1" applyFont="1" applyFill="1" applyBorder="1" applyAlignment="1" applyProtection="1">
      <alignment horizontal="left" vertical="center"/>
      <protection/>
    </xf>
    <xf numFmtId="49" fontId="1" fillId="0" borderId="19" xfId="0" applyNumberFormat="1" applyFont="1" applyFill="1" applyBorder="1" applyAlignment="1" applyProtection="1">
      <alignment horizontal="left" vertical="center"/>
      <protection/>
    </xf>
    <xf numFmtId="0" fontId="1" fillId="0" borderId="19" xfId="0" applyNumberFormat="1" applyFont="1" applyFill="1" applyBorder="1" applyAlignment="1" applyProtection="1">
      <alignment horizontal="left" vertical="center"/>
      <protection/>
    </xf>
    <xf numFmtId="49" fontId="3" fillId="0" borderId="15" xfId="0" applyNumberFormat="1" applyFont="1" applyFill="1" applyBorder="1" applyAlignment="1" applyProtection="1">
      <alignment horizontal="left" vertical="center"/>
      <protection/>
    </xf>
    <xf numFmtId="49" fontId="2" fillId="0" borderId="19" xfId="0" applyNumberFormat="1" applyFont="1" applyFill="1" applyBorder="1" applyAlignment="1" applyProtection="1">
      <alignment horizontal="center"/>
      <protection/>
    </xf>
    <xf numFmtId="0" fontId="2" fillId="0" borderId="19" xfId="0" applyNumberFormat="1" applyFont="1" applyFill="1" applyBorder="1" applyAlignment="1" applyProtection="1">
      <alignment horizontal="center" vertical="center"/>
      <protection/>
    </xf>
    <xf numFmtId="49" fontId="16" fillId="0" borderId="24" xfId="0" applyNumberFormat="1" applyFont="1" applyFill="1" applyBorder="1" applyAlignment="1" applyProtection="1">
      <alignment horizontal="left" vertical="center"/>
      <protection/>
    </xf>
    <xf numFmtId="0" fontId="16" fillId="0" borderId="0" xfId="0" applyNumberFormat="1" applyFont="1" applyFill="1" applyBorder="1" applyAlignment="1" applyProtection="1">
      <alignment horizontal="left" vertical="center"/>
      <protection/>
    </xf>
    <xf numFmtId="0" fontId="16" fillId="0" borderId="40" xfId="0" applyNumberFormat="1" applyFont="1" applyFill="1" applyBorder="1" applyAlignment="1" applyProtection="1">
      <alignment horizontal="left" vertical="center"/>
      <protection/>
    </xf>
    <xf numFmtId="49" fontId="16" fillId="0" borderId="41" xfId="0" applyNumberFormat="1" applyFont="1" applyFill="1" applyBorder="1" applyAlignment="1" applyProtection="1">
      <alignment horizontal="left" vertical="center"/>
      <protection/>
    </xf>
    <xf numFmtId="0" fontId="16" fillId="0" borderId="36" xfId="0" applyNumberFormat="1" applyFont="1" applyFill="1" applyBorder="1" applyAlignment="1" applyProtection="1">
      <alignment horizontal="left" vertical="center"/>
      <protection/>
    </xf>
    <xf numFmtId="0" fontId="16" fillId="0" borderId="42" xfId="0" applyNumberFormat="1" applyFont="1" applyFill="1" applyBorder="1" applyAlignment="1" applyProtection="1">
      <alignment horizontal="left" vertical="center"/>
      <protection/>
    </xf>
    <xf numFmtId="49" fontId="15" fillId="35" borderId="33" xfId="0" applyNumberFormat="1" applyFont="1" applyFill="1" applyBorder="1" applyAlignment="1" applyProtection="1">
      <alignment horizontal="left" vertical="center"/>
      <protection/>
    </xf>
    <xf numFmtId="0" fontId="15" fillId="35" borderId="43" xfId="0" applyNumberFormat="1" applyFont="1" applyFill="1" applyBorder="1" applyAlignment="1" applyProtection="1">
      <alignment horizontal="left" vertical="center"/>
      <protection/>
    </xf>
    <xf numFmtId="49" fontId="16" fillId="0" borderId="44" xfId="0" applyNumberFormat="1" applyFont="1" applyFill="1" applyBorder="1" applyAlignment="1" applyProtection="1">
      <alignment horizontal="left" vertical="center"/>
      <protection/>
    </xf>
    <xf numFmtId="0" fontId="16" fillId="0" borderId="18" xfId="0" applyNumberFormat="1" applyFont="1" applyFill="1" applyBorder="1" applyAlignment="1" applyProtection="1">
      <alignment horizontal="left" vertical="center"/>
      <protection/>
    </xf>
    <xf numFmtId="0" fontId="16" fillId="0" borderId="39" xfId="0" applyNumberFormat="1" applyFont="1" applyFill="1" applyBorder="1" applyAlignment="1" applyProtection="1">
      <alignment horizontal="left" vertical="center"/>
      <protection/>
    </xf>
    <xf numFmtId="49" fontId="15" fillId="0" borderId="33" xfId="0" applyNumberFormat="1" applyFont="1" applyFill="1" applyBorder="1" applyAlignment="1" applyProtection="1">
      <alignment horizontal="left" vertical="center"/>
      <protection/>
    </xf>
    <xf numFmtId="0" fontId="15" fillId="0" borderId="34" xfId="0" applyNumberFormat="1" applyFont="1" applyFill="1" applyBorder="1" applyAlignment="1" applyProtection="1">
      <alignment horizontal="left" vertical="center"/>
      <protection/>
    </xf>
    <xf numFmtId="49" fontId="16" fillId="0" borderId="33" xfId="0" applyNumberFormat="1" applyFont="1" applyFill="1" applyBorder="1" applyAlignment="1" applyProtection="1">
      <alignment horizontal="left" vertical="center"/>
      <protection/>
    </xf>
    <xf numFmtId="0" fontId="16" fillId="0" borderId="34" xfId="0" applyNumberFormat="1" applyFont="1" applyFill="1" applyBorder="1" applyAlignment="1" applyProtection="1">
      <alignment horizontal="left" vertical="center"/>
      <protection/>
    </xf>
    <xf numFmtId="49" fontId="13" fillId="0" borderId="43" xfId="0" applyNumberFormat="1" applyFont="1" applyFill="1" applyBorder="1" applyAlignment="1" applyProtection="1">
      <alignment horizontal="center" vertical="center"/>
      <protection/>
    </xf>
    <xf numFmtId="0" fontId="13" fillId="0" borderId="43" xfId="0" applyNumberFormat="1" applyFont="1" applyFill="1" applyBorder="1" applyAlignment="1" applyProtection="1">
      <alignment horizontal="center" vertical="center"/>
      <protection/>
    </xf>
    <xf numFmtId="49" fontId="17" fillId="0" borderId="33" xfId="0" applyNumberFormat="1" applyFont="1" applyFill="1" applyBorder="1" applyAlignment="1" applyProtection="1">
      <alignment horizontal="left" vertical="center"/>
      <protection/>
    </xf>
    <xf numFmtId="0" fontId="17" fillId="0" borderId="34" xfId="0" applyNumberFormat="1" applyFont="1" applyFill="1" applyBorder="1" applyAlignment="1" applyProtection="1">
      <alignment horizontal="left" vertical="center"/>
      <protection/>
    </xf>
    <xf numFmtId="0" fontId="1" fillId="0" borderId="14"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horizontal="left" vertical="center" wrapText="1"/>
      <protection/>
    </xf>
    <xf numFmtId="0" fontId="1" fillId="0" borderId="26" xfId="0" applyNumberFormat="1" applyFont="1" applyFill="1" applyBorder="1" applyAlignment="1" applyProtection="1">
      <alignment horizontal="left" vertical="center"/>
      <protection/>
    </xf>
    <xf numFmtId="49" fontId="1" fillId="0" borderId="23" xfId="0" applyNumberFormat="1" applyFont="1" applyFill="1" applyBorder="1" applyAlignment="1" applyProtection="1">
      <alignment horizontal="left" vertical="center"/>
      <protection/>
    </xf>
    <xf numFmtId="49" fontId="1" fillId="0" borderId="31" xfId="0" applyNumberFormat="1" applyFont="1" applyFill="1" applyBorder="1" applyAlignment="1" applyProtection="1">
      <alignment horizontal="left" vertical="center"/>
      <protection/>
    </xf>
  </cellXfs>
  <cellStyles count="4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0]" xfId="35"/>
    <cellStyle name="Kontrolní buňka" xfId="36"/>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0000"/>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L110"/>
  <sheetViews>
    <sheetView tabSelected="1" zoomScale="70" zoomScaleNormal="70" zoomScalePageLayoutView="0" workbookViewId="0" topLeftCell="A1">
      <pane ySplit="11" topLeftCell="A90" activePane="bottomLeft" state="frozen"/>
      <selection pane="topLeft" activeCell="A1" sqref="A1"/>
      <selection pane="bottomLeft" activeCell="E111" sqref="E111"/>
    </sheetView>
  </sheetViews>
  <sheetFormatPr defaultColWidth="11.57421875" defaultRowHeight="12.75"/>
  <cols>
    <col min="1" max="1" width="3.7109375" style="0" customWidth="1"/>
    <col min="2" max="2" width="7.57421875" style="0" customWidth="1"/>
    <col min="3" max="3" width="14.28125" style="0" customWidth="1"/>
    <col min="4" max="4" width="17.57421875" style="0" customWidth="1"/>
    <col min="5" max="5" width="66.57421875" style="0" customWidth="1"/>
    <col min="6" max="10" width="11.57421875" style="0" customWidth="1"/>
    <col min="11" max="11" width="6.7109375" style="0" customWidth="1"/>
    <col min="12" max="12" width="12.8515625" style="0" customWidth="1"/>
    <col min="13" max="13" width="12.00390625" style="0" customWidth="1"/>
    <col min="14" max="14" width="14.28125" style="0" customWidth="1"/>
    <col min="15" max="24" width="11.57421875" style="0" customWidth="1"/>
    <col min="25" max="64" width="12.140625" style="0" hidden="1" customWidth="1"/>
  </cols>
  <sheetData>
    <row r="1" spans="1:14" ht="72.75" customHeight="1">
      <c r="A1" s="112" t="s">
        <v>314</v>
      </c>
      <c r="B1" s="113"/>
      <c r="C1" s="113"/>
      <c r="D1" s="113"/>
      <c r="E1" s="113"/>
      <c r="F1" s="113"/>
      <c r="G1" s="113"/>
      <c r="H1" s="113"/>
      <c r="I1" s="113"/>
      <c r="J1" s="113"/>
      <c r="K1" s="113"/>
      <c r="L1" s="113"/>
      <c r="M1" s="113"/>
      <c r="N1" s="113"/>
    </row>
    <row r="2" spans="1:15" ht="12.75">
      <c r="A2" s="114" t="s">
        <v>0</v>
      </c>
      <c r="B2" s="115"/>
      <c r="C2" s="115"/>
      <c r="D2" s="116" t="s">
        <v>312</v>
      </c>
      <c r="E2" s="117"/>
      <c r="F2" s="119" t="s">
        <v>197</v>
      </c>
      <c r="G2" s="115"/>
      <c r="H2" s="119" t="s">
        <v>5</v>
      </c>
      <c r="I2" s="120" t="s">
        <v>201</v>
      </c>
      <c r="J2" s="120" t="s">
        <v>311</v>
      </c>
      <c r="K2" s="115"/>
      <c r="L2" s="115"/>
      <c r="M2" s="115"/>
      <c r="N2" s="121"/>
      <c r="O2" s="6"/>
    </row>
    <row r="3" spans="1:15" ht="12.75">
      <c r="A3" s="111"/>
      <c r="B3" s="83"/>
      <c r="C3" s="83"/>
      <c r="D3" s="118"/>
      <c r="E3" s="118"/>
      <c r="F3" s="83"/>
      <c r="G3" s="83"/>
      <c r="H3" s="83"/>
      <c r="I3" s="83"/>
      <c r="J3" s="83"/>
      <c r="K3" s="83"/>
      <c r="L3" s="83"/>
      <c r="M3" s="83"/>
      <c r="N3" s="109"/>
      <c r="O3" s="6"/>
    </row>
    <row r="4" spans="1:15" ht="12.75">
      <c r="A4" s="105" t="s">
        <v>1</v>
      </c>
      <c r="B4" s="83"/>
      <c r="C4" s="83"/>
      <c r="D4" s="82" t="s">
        <v>122</v>
      </c>
      <c r="E4" s="83"/>
      <c r="F4" s="108" t="s">
        <v>198</v>
      </c>
      <c r="G4" s="83"/>
      <c r="H4" s="108"/>
      <c r="I4" s="82" t="s">
        <v>202</v>
      </c>
      <c r="J4" s="108" t="s">
        <v>205</v>
      </c>
      <c r="K4" s="83"/>
      <c r="L4" s="83"/>
      <c r="M4" s="83"/>
      <c r="N4" s="109"/>
      <c r="O4" s="6"/>
    </row>
    <row r="5" spans="1:15" ht="12.75">
      <c r="A5" s="111"/>
      <c r="B5" s="83"/>
      <c r="C5" s="83"/>
      <c r="D5" s="83"/>
      <c r="E5" s="83"/>
      <c r="F5" s="83"/>
      <c r="G5" s="83"/>
      <c r="H5" s="83"/>
      <c r="I5" s="83"/>
      <c r="J5" s="83"/>
      <c r="K5" s="83"/>
      <c r="L5" s="83"/>
      <c r="M5" s="83"/>
      <c r="N5" s="109"/>
      <c r="O5" s="6"/>
    </row>
    <row r="6" spans="1:15" ht="12.75">
      <c r="A6" s="105" t="s">
        <v>2</v>
      </c>
      <c r="B6" s="83"/>
      <c r="C6" s="83"/>
      <c r="D6" s="82" t="s">
        <v>5</v>
      </c>
      <c r="E6" s="83"/>
      <c r="F6" s="108" t="s">
        <v>199</v>
      </c>
      <c r="G6" s="83"/>
      <c r="H6" s="108" t="s">
        <v>5</v>
      </c>
      <c r="I6" s="82" t="s">
        <v>203</v>
      </c>
      <c r="J6" s="108" t="s">
        <v>205</v>
      </c>
      <c r="K6" s="83"/>
      <c r="L6" s="83"/>
      <c r="M6" s="83"/>
      <c r="N6" s="109"/>
      <c r="O6" s="6"/>
    </row>
    <row r="7" spans="1:15" ht="12.75">
      <c r="A7" s="111"/>
      <c r="B7" s="83"/>
      <c r="C7" s="83"/>
      <c r="D7" s="83"/>
      <c r="E7" s="83"/>
      <c r="F7" s="83"/>
      <c r="G7" s="83"/>
      <c r="H7" s="83"/>
      <c r="I7" s="83"/>
      <c r="J7" s="83"/>
      <c r="K7" s="83"/>
      <c r="L7" s="83"/>
      <c r="M7" s="83"/>
      <c r="N7" s="109"/>
      <c r="O7" s="6"/>
    </row>
    <row r="8" spans="1:15" ht="12.75">
      <c r="A8" s="105" t="s">
        <v>3</v>
      </c>
      <c r="B8" s="83"/>
      <c r="C8" s="83"/>
      <c r="D8" s="82" t="s">
        <v>5</v>
      </c>
      <c r="E8" s="83"/>
      <c r="F8" s="108" t="s">
        <v>200</v>
      </c>
      <c r="G8" s="83"/>
      <c r="H8" s="108"/>
      <c r="I8" s="82" t="s">
        <v>204</v>
      </c>
      <c r="J8" s="108" t="s">
        <v>205</v>
      </c>
      <c r="K8" s="83"/>
      <c r="L8" s="83"/>
      <c r="M8" s="83"/>
      <c r="N8" s="109"/>
      <c r="O8" s="6"/>
    </row>
    <row r="9" spans="1:15" ht="12.75">
      <c r="A9" s="106"/>
      <c r="B9" s="107"/>
      <c r="C9" s="107"/>
      <c r="D9" s="107"/>
      <c r="E9" s="107"/>
      <c r="F9" s="107"/>
      <c r="G9" s="107"/>
      <c r="H9" s="107"/>
      <c r="I9" s="107"/>
      <c r="J9" s="107"/>
      <c r="K9" s="107"/>
      <c r="L9" s="107"/>
      <c r="M9" s="107"/>
      <c r="N9" s="110"/>
      <c r="O9" s="6"/>
    </row>
    <row r="10" spans="1:64" ht="12.75">
      <c r="A10" s="1" t="s">
        <v>4</v>
      </c>
      <c r="B10" s="12" t="s">
        <v>60</v>
      </c>
      <c r="C10" s="12" t="s">
        <v>63</v>
      </c>
      <c r="D10" s="97" t="s">
        <v>123</v>
      </c>
      <c r="E10" s="98"/>
      <c r="F10" s="98"/>
      <c r="G10" s="98"/>
      <c r="H10" s="98"/>
      <c r="I10" s="98"/>
      <c r="J10" s="99"/>
      <c r="K10" s="12" t="s">
        <v>213</v>
      </c>
      <c r="L10" s="26" t="s">
        <v>223</v>
      </c>
      <c r="M10" s="30" t="s">
        <v>224</v>
      </c>
      <c r="N10" s="32" t="s">
        <v>226</v>
      </c>
      <c r="O10" s="35"/>
      <c r="BK10" s="36" t="s">
        <v>258</v>
      </c>
      <c r="BL10" s="41" t="s">
        <v>261</v>
      </c>
    </row>
    <row r="11" spans="1:62" ht="12.75">
      <c r="A11" s="2" t="s">
        <v>5</v>
      </c>
      <c r="B11" s="13" t="s">
        <v>5</v>
      </c>
      <c r="C11" s="13" t="s">
        <v>5</v>
      </c>
      <c r="D11" s="100" t="s">
        <v>124</v>
      </c>
      <c r="E11" s="101"/>
      <c r="F11" s="101"/>
      <c r="G11" s="101"/>
      <c r="H11" s="101"/>
      <c r="I11" s="101"/>
      <c r="J11" s="102"/>
      <c r="K11" s="13" t="s">
        <v>5</v>
      </c>
      <c r="L11" s="13" t="s">
        <v>5</v>
      </c>
      <c r="M11" s="31" t="s">
        <v>225</v>
      </c>
      <c r="N11" s="33" t="s">
        <v>227</v>
      </c>
      <c r="O11" s="35"/>
      <c r="Z11" s="36" t="s">
        <v>228</v>
      </c>
      <c r="AA11" s="36" t="s">
        <v>229</v>
      </c>
      <c r="AB11" s="36" t="s">
        <v>230</v>
      </c>
      <c r="AC11" s="36" t="s">
        <v>231</v>
      </c>
      <c r="AD11" s="36" t="s">
        <v>232</v>
      </c>
      <c r="AE11" s="36" t="s">
        <v>233</v>
      </c>
      <c r="AF11" s="36" t="s">
        <v>234</v>
      </c>
      <c r="AG11" s="36" t="s">
        <v>235</v>
      </c>
      <c r="AH11" s="36" t="s">
        <v>236</v>
      </c>
      <c r="BH11" s="36" t="s">
        <v>255</v>
      </c>
      <c r="BI11" s="36" t="s">
        <v>256</v>
      </c>
      <c r="BJ11" s="36" t="s">
        <v>257</v>
      </c>
    </row>
    <row r="12" spans="1:15" ht="12.75">
      <c r="A12" s="3"/>
      <c r="B12" s="14" t="s">
        <v>61</v>
      </c>
      <c r="C12" s="14"/>
      <c r="D12" s="103" t="s">
        <v>125</v>
      </c>
      <c r="E12" s="104"/>
      <c r="F12" s="104"/>
      <c r="G12" s="104"/>
      <c r="H12" s="104"/>
      <c r="I12" s="104"/>
      <c r="J12" s="104"/>
      <c r="K12" s="23" t="s">
        <v>5</v>
      </c>
      <c r="L12" s="23" t="s">
        <v>5</v>
      </c>
      <c r="M12" s="23" t="s">
        <v>5</v>
      </c>
      <c r="N12" s="42">
        <f>N13+N50+N67+N78+N80+N87+N95</f>
        <v>0</v>
      </c>
      <c r="O12" s="6"/>
    </row>
    <row r="13" spans="1:47" ht="12.75">
      <c r="A13" s="4"/>
      <c r="B13" s="15" t="s">
        <v>61</v>
      </c>
      <c r="C13" s="15" t="s">
        <v>18</v>
      </c>
      <c r="D13" s="92" t="s">
        <v>126</v>
      </c>
      <c r="E13" s="93"/>
      <c r="F13" s="93"/>
      <c r="G13" s="93"/>
      <c r="H13" s="93"/>
      <c r="I13" s="93"/>
      <c r="J13" s="93"/>
      <c r="K13" s="24" t="s">
        <v>5</v>
      </c>
      <c r="L13" s="24" t="s">
        <v>5</v>
      </c>
      <c r="M13" s="24" t="s">
        <v>5</v>
      </c>
      <c r="N13" s="43">
        <f>SUM(N14:N49)</f>
        <v>0</v>
      </c>
      <c r="O13" s="6"/>
      <c r="AI13" s="36" t="s">
        <v>61</v>
      </c>
      <c r="AS13" s="49">
        <f>SUM(AJ14:AJ49)</f>
        <v>0</v>
      </c>
      <c r="AT13" s="49">
        <f>SUM(AK14:AK49)</f>
        <v>0</v>
      </c>
      <c r="AU13" s="49">
        <f>SUM(AL14:AL49)</f>
        <v>0</v>
      </c>
    </row>
    <row r="14" spans="1:64" ht="12.75">
      <c r="A14" s="5" t="s">
        <v>6</v>
      </c>
      <c r="B14" s="16" t="s">
        <v>61</v>
      </c>
      <c r="C14" s="16" t="s">
        <v>64</v>
      </c>
      <c r="D14" s="86" t="s">
        <v>127</v>
      </c>
      <c r="E14" s="87"/>
      <c r="F14" s="87"/>
      <c r="G14" s="87"/>
      <c r="H14" s="87"/>
      <c r="I14" s="87"/>
      <c r="J14" s="87"/>
      <c r="K14" s="16" t="s">
        <v>214</v>
      </c>
      <c r="L14" s="74">
        <v>7.5</v>
      </c>
      <c r="M14" s="27">
        <v>0</v>
      </c>
      <c r="N14" s="44">
        <f>L14*M14</f>
        <v>0</v>
      </c>
      <c r="O14" s="6"/>
      <c r="Z14" s="37">
        <f>IF(AQ14="5",BJ14,0)</f>
        <v>0</v>
      </c>
      <c r="AB14" s="37">
        <f>IF(AQ14="1",BH14,0)</f>
        <v>0</v>
      </c>
      <c r="AC14" s="37">
        <f>IF(AQ14="1",BI14,0)</f>
        <v>0</v>
      </c>
      <c r="AD14" s="37">
        <f>IF(AQ14="7",BH14,0)</f>
        <v>0</v>
      </c>
      <c r="AE14" s="37">
        <f>IF(AQ14="7",BI14,0)</f>
        <v>0</v>
      </c>
      <c r="AF14" s="37">
        <f>IF(AQ14="2",BH14,0)</f>
        <v>0</v>
      </c>
      <c r="AG14" s="37">
        <f>IF(AQ14="2",BI14,0)</f>
        <v>0</v>
      </c>
      <c r="AH14" s="37">
        <f>IF(AQ14="0",BJ14,0)</f>
        <v>0</v>
      </c>
      <c r="AI14" s="36" t="s">
        <v>61</v>
      </c>
      <c r="AJ14" s="27">
        <f>IF(AN14=0,N14,0)</f>
        <v>0</v>
      </c>
      <c r="AK14" s="27">
        <f>IF(AN14=15,N14,0)</f>
        <v>0</v>
      </c>
      <c r="AL14" s="27">
        <f>IF(AN14=21,N14,0)</f>
        <v>0</v>
      </c>
      <c r="AN14" s="37">
        <v>21</v>
      </c>
      <c r="AO14" s="37">
        <f>M14*0</f>
        <v>0</v>
      </c>
      <c r="AP14" s="37">
        <f>M14*(1-0)</f>
        <v>0</v>
      </c>
      <c r="AQ14" s="38" t="s">
        <v>6</v>
      </c>
      <c r="AV14" s="37">
        <f>AW14+AX14</f>
        <v>0</v>
      </c>
      <c r="AW14" s="37">
        <f>L14*AO14</f>
        <v>0</v>
      </c>
      <c r="AX14" s="37">
        <f>L14*AP14</f>
        <v>0</v>
      </c>
      <c r="AY14" s="40" t="s">
        <v>238</v>
      </c>
      <c r="AZ14" s="40" t="s">
        <v>246</v>
      </c>
      <c r="BA14" s="36" t="s">
        <v>253</v>
      </c>
      <c r="BC14" s="37">
        <f>AW14+AX14</f>
        <v>0</v>
      </c>
      <c r="BD14" s="37">
        <f>M14/(100-BE14)*100</f>
        <v>0</v>
      </c>
      <c r="BE14" s="37">
        <v>0</v>
      </c>
      <c r="BF14" s="37">
        <f>14</f>
        <v>14</v>
      </c>
      <c r="BH14" s="27">
        <f>L14*AO14</f>
        <v>0</v>
      </c>
      <c r="BI14" s="27">
        <f>L14*AP14</f>
        <v>0</v>
      </c>
      <c r="BJ14" s="27">
        <f>L14*M14</f>
        <v>0</v>
      </c>
      <c r="BK14" s="27" t="s">
        <v>259</v>
      </c>
      <c r="BL14" s="37">
        <v>13</v>
      </c>
    </row>
    <row r="15" spans="1:15" ht="12.75">
      <c r="A15" s="6"/>
      <c r="D15" s="20" t="s">
        <v>128</v>
      </c>
      <c r="J15" s="22" t="s">
        <v>206</v>
      </c>
      <c r="L15" s="75">
        <v>7.5</v>
      </c>
      <c r="N15" s="34"/>
      <c r="O15" s="6"/>
    </row>
    <row r="16" spans="1:64" ht="12.75">
      <c r="A16" s="5" t="s">
        <v>7</v>
      </c>
      <c r="B16" s="16" t="s">
        <v>61</v>
      </c>
      <c r="C16" s="16" t="s">
        <v>65</v>
      </c>
      <c r="D16" s="86" t="s">
        <v>129</v>
      </c>
      <c r="E16" s="87"/>
      <c r="F16" s="87"/>
      <c r="G16" s="87"/>
      <c r="H16" s="87"/>
      <c r="I16" s="87"/>
      <c r="J16" s="87"/>
      <c r="K16" s="16" t="s">
        <v>214</v>
      </c>
      <c r="L16" s="74">
        <v>7.5</v>
      </c>
      <c r="M16" s="27">
        <v>0</v>
      </c>
      <c r="N16" s="44">
        <f>L16*M16</f>
        <v>0</v>
      </c>
      <c r="O16" s="6"/>
      <c r="Z16" s="37">
        <f>IF(AQ16="5",BJ16,0)</f>
        <v>0</v>
      </c>
      <c r="AB16" s="37">
        <f>IF(AQ16="1",BH16,0)</f>
        <v>0</v>
      </c>
      <c r="AC16" s="37">
        <f>IF(AQ16="1",BI16,0)</f>
        <v>0</v>
      </c>
      <c r="AD16" s="37">
        <f>IF(AQ16="7",BH16,0)</f>
        <v>0</v>
      </c>
      <c r="AE16" s="37">
        <f>IF(AQ16="7",BI16,0)</f>
        <v>0</v>
      </c>
      <c r="AF16" s="37">
        <f>IF(AQ16="2",BH16,0)</f>
        <v>0</v>
      </c>
      <c r="AG16" s="37">
        <f>IF(AQ16="2",BI16,0)</f>
        <v>0</v>
      </c>
      <c r="AH16" s="37">
        <f>IF(AQ16="0",BJ16,0)</f>
        <v>0</v>
      </c>
      <c r="AI16" s="36" t="s">
        <v>61</v>
      </c>
      <c r="AJ16" s="27">
        <f>IF(AN16=0,N16,0)</f>
        <v>0</v>
      </c>
      <c r="AK16" s="27">
        <f>IF(AN16=15,N16,0)</f>
        <v>0</v>
      </c>
      <c r="AL16" s="27">
        <f>IF(AN16=21,N16,0)</f>
        <v>0</v>
      </c>
      <c r="AN16" s="37">
        <v>21</v>
      </c>
      <c r="AO16" s="37">
        <f>M16*0</f>
        <v>0</v>
      </c>
      <c r="AP16" s="37">
        <f>M16*(1-0)</f>
        <v>0</v>
      </c>
      <c r="AQ16" s="38" t="s">
        <v>6</v>
      </c>
      <c r="AV16" s="37">
        <f>AW16+AX16</f>
        <v>0</v>
      </c>
      <c r="AW16" s="37">
        <f>L16*AO16</f>
        <v>0</v>
      </c>
      <c r="AX16" s="37">
        <f>L16*AP16</f>
        <v>0</v>
      </c>
      <c r="AY16" s="40" t="s">
        <v>238</v>
      </c>
      <c r="AZ16" s="40" t="s">
        <v>246</v>
      </c>
      <c r="BA16" s="36" t="s">
        <v>253</v>
      </c>
      <c r="BC16" s="37">
        <f>AW16+AX16</f>
        <v>0</v>
      </c>
      <c r="BD16" s="37">
        <f>M16/(100-BE16)*100</f>
        <v>0</v>
      </c>
      <c r="BE16" s="37">
        <v>0</v>
      </c>
      <c r="BF16" s="37">
        <f>16</f>
        <v>16</v>
      </c>
      <c r="BH16" s="27">
        <f>L16*AO16</f>
        <v>0</v>
      </c>
      <c r="BI16" s="27">
        <f>L16*AP16</f>
        <v>0</v>
      </c>
      <c r="BJ16" s="27">
        <f>L16*M16</f>
        <v>0</v>
      </c>
      <c r="BK16" s="27" t="s">
        <v>259</v>
      </c>
      <c r="BL16" s="37">
        <v>13</v>
      </c>
    </row>
    <row r="17" spans="1:15" ht="12.75">
      <c r="A17" s="6"/>
      <c r="D17" s="20" t="s">
        <v>128</v>
      </c>
      <c r="J17" s="22" t="s">
        <v>206</v>
      </c>
      <c r="L17" s="75">
        <v>7.5</v>
      </c>
      <c r="N17" s="34"/>
      <c r="O17" s="6"/>
    </row>
    <row r="18" spans="1:64" ht="12.75">
      <c r="A18" s="5" t="s">
        <v>8</v>
      </c>
      <c r="B18" s="16" t="s">
        <v>61</v>
      </c>
      <c r="C18" s="16" t="s">
        <v>66</v>
      </c>
      <c r="D18" s="86" t="s">
        <v>130</v>
      </c>
      <c r="E18" s="87"/>
      <c r="F18" s="87"/>
      <c r="G18" s="87"/>
      <c r="H18" s="87"/>
      <c r="I18" s="87"/>
      <c r="J18" s="87"/>
      <c r="K18" s="16" t="s">
        <v>215</v>
      </c>
      <c r="L18" s="74">
        <v>15.75</v>
      </c>
      <c r="M18" s="27">
        <v>0</v>
      </c>
      <c r="N18" s="44">
        <f>L18*M18</f>
        <v>0</v>
      </c>
      <c r="O18" s="6"/>
      <c r="Z18" s="37">
        <f>IF(AQ18="5",BJ18,0)</f>
        <v>0</v>
      </c>
      <c r="AB18" s="37">
        <f>IF(AQ18="1",BH18,0)</f>
        <v>0</v>
      </c>
      <c r="AC18" s="37">
        <f>IF(AQ18="1",BI18,0)</f>
        <v>0</v>
      </c>
      <c r="AD18" s="37">
        <f>IF(AQ18="7",BH18,0)</f>
        <v>0</v>
      </c>
      <c r="AE18" s="37">
        <f>IF(AQ18="7",BI18,0)</f>
        <v>0</v>
      </c>
      <c r="AF18" s="37">
        <f>IF(AQ18="2",BH18,0)</f>
        <v>0</v>
      </c>
      <c r="AG18" s="37">
        <f>IF(AQ18="2",BI18,0)</f>
        <v>0</v>
      </c>
      <c r="AH18" s="37">
        <f>IF(AQ18="0",BJ18,0)</f>
        <v>0</v>
      </c>
      <c r="AI18" s="36" t="s">
        <v>61</v>
      </c>
      <c r="AJ18" s="27">
        <f>IF(AN18=0,N18,0)</f>
        <v>0</v>
      </c>
      <c r="AK18" s="27">
        <f>IF(AN18=15,N18,0)</f>
        <v>0</v>
      </c>
      <c r="AL18" s="27">
        <f>IF(AN18=21,N18,0)</f>
        <v>0</v>
      </c>
      <c r="AN18" s="37">
        <v>21</v>
      </c>
      <c r="AO18" s="37">
        <f>M18*0</f>
        <v>0</v>
      </c>
      <c r="AP18" s="37">
        <f>M18*(1-0)</f>
        <v>0</v>
      </c>
      <c r="AQ18" s="38" t="s">
        <v>6</v>
      </c>
      <c r="AV18" s="37">
        <f>AW18+AX18</f>
        <v>0</v>
      </c>
      <c r="AW18" s="37">
        <f>L18*AO18</f>
        <v>0</v>
      </c>
      <c r="AX18" s="37">
        <f>L18*AP18</f>
        <v>0</v>
      </c>
      <c r="AY18" s="40" t="s">
        <v>238</v>
      </c>
      <c r="AZ18" s="40" t="s">
        <v>246</v>
      </c>
      <c r="BA18" s="36" t="s">
        <v>253</v>
      </c>
      <c r="BC18" s="37">
        <f>AW18+AX18</f>
        <v>0</v>
      </c>
      <c r="BD18" s="37">
        <f>M18/(100-BE18)*100</f>
        <v>0</v>
      </c>
      <c r="BE18" s="37">
        <v>0</v>
      </c>
      <c r="BF18" s="37">
        <f>18</f>
        <v>18</v>
      </c>
      <c r="BH18" s="27">
        <f>L18*AO18</f>
        <v>0</v>
      </c>
      <c r="BI18" s="27">
        <f>L18*AP18</f>
        <v>0</v>
      </c>
      <c r="BJ18" s="27">
        <f>L18*M18</f>
        <v>0</v>
      </c>
      <c r="BK18" s="27" t="s">
        <v>259</v>
      </c>
      <c r="BL18" s="37">
        <v>13</v>
      </c>
    </row>
    <row r="19" spans="1:15" ht="12.75">
      <c r="A19" s="6"/>
      <c r="D19" s="20" t="s">
        <v>131</v>
      </c>
      <c r="J19" s="22"/>
      <c r="L19" s="75">
        <v>15.75</v>
      </c>
      <c r="N19" s="34"/>
      <c r="O19" s="6"/>
    </row>
    <row r="20" spans="1:64" ht="12.75">
      <c r="A20" s="5" t="s">
        <v>9</v>
      </c>
      <c r="B20" s="16" t="s">
        <v>61</v>
      </c>
      <c r="C20" s="16" t="s">
        <v>67</v>
      </c>
      <c r="D20" s="86" t="s">
        <v>132</v>
      </c>
      <c r="E20" s="87"/>
      <c r="F20" s="87"/>
      <c r="G20" s="87"/>
      <c r="H20" s="87"/>
      <c r="I20" s="87"/>
      <c r="J20" s="87"/>
      <c r="K20" s="16" t="s">
        <v>215</v>
      </c>
      <c r="L20" s="74">
        <v>5</v>
      </c>
      <c r="M20" s="27">
        <v>0</v>
      </c>
      <c r="N20" s="44">
        <f>L20*M20</f>
        <v>0</v>
      </c>
      <c r="O20" s="6"/>
      <c r="Z20" s="37">
        <f>IF(AQ20="5",BJ20,0)</f>
        <v>0</v>
      </c>
      <c r="AB20" s="37">
        <f>IF(AQ20="1",BH20,0)</f>
        <v>0</v>
      </c>
      <c r="AC20" s="37">
        <f>IF(AQ20="1",BI20,0)</f>
        <v>0</v>
      </c>
      <c r="AD20" s="37">
        <f>IF(AQ20="7",BH20,0)</f>
        <v>0</v>
      </c>
      <c r="AE20" s="37">
        <f>IF(AQ20="7",BI20,0)</f>
        <v>0</v>
      </c>
      <c r="AF20" s="37">
        <f>IF(AQ20="2",BH20,0)</f>
        <v>0</v>
      </c>
      <c r="AG20" s="37">
        <f>IF(AQ20="2",BI20,0)</f>
        <v>0</v>
      </c>
      <c r="AH20" s="37">
        <f>IF(AQ20="0",BJ20,0)</f>
        <v>0</v>
      </c>
      <c r="AI20" s="36" t="s">
        <v>61</v>
      </c>
      <c r="AJ20" s="27">
        <f>IF(AN20=0,N20,0)</f>
        <v>0</v>
      </c>
      <c r="AK20" s="27">
        <f>IF(AN20=15,N20,0)</f>
        <v>0</v>
      </c>
      <c r="AL20" s="27">
        <f>IF(AN20=21,N20,0)</f>
        <v>0</v>
      </c>
      <c r="AN20" s="37">
        <v>21</v>
      </c>
      <c r="AO20" s="37">
        <f>M20*0</f>
        <v>0</v>
      </c>
      <c r="AP20" s="37">
        <f>M20*(1-0)</f>
        <v>0</v>
      </c>
      <c r="AQ20" s="38" t="s">
        <v>6</v>
      </c>
      <c r="AV20" s="37">
        <f>AW20+AX20</f>
        <v>0</v>
      </c>
      <c r="AW20" s="37">
        <f>L20*AO20</f>
        <v>0</v>
      </c>
      <c r="AX20" s="37">
        <f>L20*AP20</f>
        <v>0</v>
      </c>
      <c r="AY20" s="40" t="s">
        <v>238</v>
      </c>
      <c r="AZ20" s="40" t="s">
        <v>246</v>
      </c>
      <c r="BA20" s="36" t="s">
        <v>253</v>
      </c>
      <c r="BC20" s="37">
        <f>AW20+AX20</f>
        <v>0</v>
      </c>
      <c r="BD20" s="37">
        <f>M20/(100-BE20)*100</f>
        <v>0</v>
      </c>
      <c r="BE20" s="37">
        <v>0</v>
      </c>
      <c r="BF20" s="37">
        <f>20</f>
        <v>20</v>
      </c>
      <c r="BH20" s="27">
        <f>L20*AO20</f>
        <v>0</v>
      </c>
      <c r="BI20" s="27">
        <f>L20*AP20</f>
        <v>0</v>
      </c>
      <c r="BJ20" s="27">
        <f>L20*M20</f>
        <v>0</v>
      </c>
      <c r="BK20" s="27" t="s">
        <v>259</v>
      </c>
      <c r="BL20" s="37">
        <v>13</v>
      </c>
    </row>
    <row r="21" spans="1:15" ht="12.75">
      <c r="A21" s="6"/>
      <c r="D21" s="20" t="s">
        <v>10</v>
      </c>
      <c r="J21" s="22" t="s">
        <v>207</v>
      </c>
      <c r="L21" s="75">
        <v>5</v>
      </c>
      <c r="N21" s="34"/>
      <c r="O21" s="6"/>
    </row>
    <row r="22" spans="1:64" ht="12.75">
      <c r="A22" s="5" t="s">
        <v>10</v>
      </c>
      <c r="B22" s="16" t="s">
        <v>61</v>
      </c>
      <c r="C22" s="16" t="s">
        <v>68</v>
      </c>
      <c r="D22" s="86" t="s">
        <v>133</v>
      </c>
      <c r="E22" s="87"/>
      <c r="F22" s="87"/>
      <c r="G22" s="87"/>
      <c r="H22" s="87"/>
      <c r="I22" s="87"/>
      <c r="J22" s="87"/>
      <c r="K22" s="16" t="s">
        <v>215</v>
      </c>
      <c r="L22" s="74">
        <v>31.5</v>
      </c>
      <c r="M22" s="27">
        <v>0</v>
      </c>
      <c r="N22" s="44">
        <f>L22*M22</f>
        <v>0</v>
      </c>
      <c r="O22" s="6"/>
      <c r="Z22" s="37">
        <f>IF(AQ22="5",BJ22,0)</f>
        <v>0</v>
      </c>
      <c r="AB22" s="37">
        <f>IF(AQ22="1",BH22,0)</f>
        <v>0</v>
      </c>
      <c r="AC22" s="37">
        <f>IF(AQ22="1",BI22,0)</f>
        <v>0</v>
      </c>
      <c r="AD22" s="37">
        <f>IF(AQ22="7",BH22,0)</f>
        <v>0</v>
      </c>
      <c r="AE22" s="37">
        <f>IF(AQ22="7",BI22,0)</f>
        <v>0</v>
      </c>
      <c r="AF22" s="37">
        <f>IF(AQ22="2",BH22,0)</f>
        <v>0</v>
      </c>
      <c r="AG22" s="37">
        <f>IF(AQ22="2",BI22,0)</f>
        <v>0</v>
      </c>
      <c r="AH22" s="37">
        <f>IF(AQ22="0",BJ22,0)</f>
        <v>0</v>
      </c>
      <c r="AI22" s="36" t="s">
        <v>61</v>
      </c>
      <c r="AJ22" s="27">
        <f>IF(AN22=0,N22,0)</f>
        <v>0</v>
      </c>
      <c r="AK22" s="27">
        <f>IF(AN22=15,N22,0)</f>
        <v>0</v>
      </c>
      <c r="AL22" s="27">
        <f>IF(AN22=21,N22,0)</f>
        <v>0</v>
      </c>
      <c r="AN22" s="37">
        <v>21</v>
      </c>
      <c r="AO22" s="37">
        <f>M22*0</f>
        <v>0</v>
      </c>
      <c r="AP22" s="37">
        <f>M22*(1-0)</f>
        <v>0</v>
      </c>
      <c r="AQ22" s="38" t="s">
        <v>6</v>
      </c>
      <c r="AV22" s="37">
        <f>AW22+AX22</f>
        <v>0</v>
      </c>
      <c r="AW22" s="37">
        <f>L22*AO22</f>
        <v>0</v>
      </c>
      <c r="AX22" s="37">
        <f>L22*AP22</f>
        <v>0</v>
      </c>
      <c r="AY22" s="40" t="s">
        <v>238</v>
      </c>
      <c r="AZ22" s="40" t="s">
        <v>246</v>
      </c>
      <c r="BA22" s="36" t="s">
        <v>253</v>
      </c>
      <c r="BC22" s="37">
        <f>AW22+AX22</f>
        <v>0</v>
      </c>
      <c r="BD22" s="37">
        <f>M22/(100-BE22)*100</f>
        <v>0</v>
      </c>
      <c r="BE22" s="37">
        <v>0</v>
      </c>
      <c r="BF22" s="37">
        <f>22</f>
        <v>22</v>
      </c>
      <c r="BH22" s="27">
        <f>L22*AO22</f>
        <v>0</v>
      </c>
      <c r="BI22" s="27">
        <f>L22*AP22</f>
        <v>0</v>
      </c>
      <c r="BJ22" s="27">
        <f>L22*M22</f>
        <v>0</v>
      </c>
      <c r="BK22" s="27" t="s">
        <v>259</v>
      </c>
      <c r="BL22" s="37">
        <v>13</v>
      </c>
    </row>
    <row r="23" spans="1:15" ht="12.75">
      <c r="A23" s="6"/>
      <c r="D23" s="20" t="s">
        <v>134</v>
      </c>
      <c r="J23" s="22" t="s">
        <v>208</v>
      </c>
      <c r="L23" s="75">
        <v>10.5</v>
      </c>
      <c r="N23" s="34"/>
      <c r="O23" s="6"/>
    </row>
    <row r="24" spans="1:15" ht="12.75">
      <c r="A24" s="6"/>
      <c r="D24" s="20" t="s">
        <v>135</v>
      </c>
      <c r="J24" s="22" t="s">
        <v>209</v>
      </c>
      <c r="L24" s="75">
        <v>21</v>
      </c>
      <c r="N24" s="34"/>
      <c r="O24" s="6"/>
    </row>
    <row r="25" spans="1:64" ht="12.75">
      <c r="A25" s="5" t="s">
        <v>11</v>
      </c>
      <c r="B25" s="16" t="s">
        <v>61</v>
      </c>
      <c r="C25" s="16" t="s">
        <v>69</v>
      </c>
      <c r="D25" s="86" t="s">
        <v>136</v>
      </c>
      <c r="E25" s="87"/>
      <c r="F25" s="87"/>
      <c r="G25" s="87"/>
      <c r="H25" s="87"/>
      <c r="I25" s="87"/>
      <c r="J25" s="87"/>
      <c r="K25" s="16" t="s">
        <v>215</v>
      </c>
      <c r="L25" s="74">
        <v>0.95325</v>
      </c>
      <c r="M25" s="27">
        <v>0</v>
      </c>
      <c r="N25" s="44">
        <f>L25*M25</f>
        <v>0</v>
      </c>
      <c r="O25" s="6"/>
      <c r="Z25" s="37">
        <f>IF(AQ25="5",BJ25,0)</f>
        <v>0</v>
      </c>
      <c r="AB25" s="37">
        <f>IF(AQ25="1",BH25,0)</f>
        <v>0</v>
      </c>
      <c r="AC25" s="37">
        <f>IF(AQ25="1",BI25,0)</f>
        <v>0</v>
      </c>
      <c r="AD25" s="37">
        <f>IF(AQ25="7",BH25,0)</f>
        <v>0</v>
      </c>
      <c r="AE25" s="37">
        <f>IF(AQ25="7",BI25,0)</f>
        <v>0</v>
      </c>
      <c r="AF25" s="37">
        <f>IF(AQ25="2",BH25,0)</f>
        <v>0</v>
      </c>
      <c r="AG25" s="37">
        <f>IF(AQ25="2",BI25,0)</f>
        <v>0</v>
      </c>
      <c r="AH25" s="37">
        <f>IF(AQ25="0",BJ25,0)</f>
        <v>0</v>
      </c>
      <c r="AI25" s="36" t="s">
        <v>61</v>
      </c>
      <c r="AJ25" s="27">
        <f>IF(AN25=0,N25,0)</f>
        <v>0</v>
      </c>
      <c r="AK25" s="27">
        <f>IF(AN25=15,N25,0)</f>
        <v>0</v>
      </c>
      <c r="AL25" s="27">
        <f>IF(AN25=21,N25,0)</f>
        <v>0</v>
      </c>
      <c r="AN25" s="37">
        <v>21</v>
      </c>
      <c r="AO25" s="37">
        <f>M25*0</f>
        <v>0</v>
      </c>
      <c r="AP25" s="37">
        <f>M25*(1-0)</f>
        <v>0</v>
      </c>
      <c r="AQ25" s="38" t="s">
        <v>6</v>
      </c>
      <c r="AV25" s="37">
        <f>AW25+AX25</f>
        <v>0</v>
      </c>
      <c r="AW25" s="37">
        <f>L25*AO25</f>
        <v>0</v>
      </c>
      <c r="AX25" s="37">
        <f>L25*AP25</f>
        <v>0</v>
      </c>
      <c r="AY25" s="40" t="s">
        <v>238</v>
      </c>
      <c r="AZ25" s="40" t="s">
        <v>246</v>
      </c>
      <c r="BA25" s="36" t="s">
        <v>253</v>
      </c>
      <c r="BC25" s="37">
        <f>AW25+AX25</f>
        <v>0</v>
      </c>
      <c r="BD25" s="37">
        <f>M25/(100-BE25)*100</f>
        <v>0</v>
      </c>
      <c r="BE25" s="37">
        <v>0</v>
      </c>
      <c r="BF25" s="37">
        <f>25</f>
        <v>25</v>
      </c>
      <c r="BH25" s="27">
        <f>L25*AO25</f>
        <v>0</v>
      </c>
      <c r="BI25" s="27">
        <f>L25*AP25</f>
        <v>0</v>
      </c>
      <c r="BJ25" s="27">
        <f>L25*M25</f>
        <v>0</v>
      </c>
      <c r="BK25" s="27" t="s">
        <v>259</v>
      </c>
      <c r="BL25" s="37">
        <v>13</v>
      </c>
    </row>
    <row r="26" spans="1:15" ht="12.75">
      <c r="A26" s="6"/>
      <c r="D26" s="20" t="s">
        <v>137</v>
      </c>
      <c r="J26" s="22"/>
      <c r="L26" s="75">
        <v>0.93</v>
      </c>
      <c r="N26" s="34"/>
      <c r="O26" s="6"/>
    </row>
    <row r="27" spans="1:15" ht="12.75">
      <c r="A27" s="6"/>
      <c r="D27" s="20" t="s">
        <v>138</v>
      </c>
      <c r="J27" s="22"/>
      <c r="L27" s="75">
        <v>0.02325</v>
      </c>
      <c r="N27" s="34"/>
      <c r="O27" s="6"/>
    </row>
    <row r="28" spans="1:64" ht="12.75">
      <c r="A28" s="5" t="s">
        <v>12</v>
      </c>
      <c r="B28" s="16" t="s">
        <v>61</v>
      </c>
      <c r="C28" s="16" t="s">
        <v>70</v>
      </c>
      <c r="D28" s="86" t="s">
        <v>139</v>
      </c>
      <c r="E28" s="87"/>
      <c r="F28" s="87"/>
      <c r="G28" s="87"/>
      <c r="H28" s="87"/>
      <c r="I28" s="87"/>
      <c r="J28" s="87"/>
      <c r="K28" s="16" t="s">
        <v>215</v>
      </c>
      <c r="L28" s="74">
        <v>0.5</v>
      </c>
      <c r="M28" s="27">
        <v>0</v>
      </c>
      <c r="N28" s="44">
        <f>L28*M28</f>
        <v>0</v>
      </c>
      <c r="O28" s="6"/>
      <c r="Z28" s="37">
        <f>IF(AQ28="5",BJ28,0)</f>
        <v>0</v>
      </c>
      <c r="AB28" s="37">
        <f>IF(AQ28="1",BH28,0)</f>
        <v>0</v>
      </c>
      <c r="AC28" s="37">
        <f>IF(AQ28="1",BI28,0)</f>
        <v>0</v>
      </c>
      <c r="AD28" s="37">
        <f>IF(AQ28="7",BH28,0)</f>
        <v>0</v>
      </c>
      <c r="AE28" s="37">
        <f>IF(AQ28="7",BI28,0)</f>
        <v>0</v>
      </c>
      <c r="AF28" s="37">
        <f>IF(AQ28="2",BH28,0)</f>
        <v>0</v>
      </c>
      <c r="AG28" s="37">
        <f>IF(AQ28="2",BI28,0)</f>
        <v>0</v>
      </c>
      <c r="AH28" s="37">
        <f>IF(AQ28="0",BJ28,0)</f>
        <v>0</v>
      </c>
      <c r="AI28" s="36" t="s">
        <v>61</v>
      </c>
      <c r="AJ28" s="27">
        <f>IF(AN28=0,N28,0)</f>
        <v>0</v>
      </c>
      <c r="AK28" s="27">
        <f>IF(AN28=15,N28,0)</f>
        <v>0</v>
      </c>
      <c r="AL28" s="27">
        <f>IF(AN28=21,N28,0)</f>
        <v>0</v>
      </c>
      <c r="AN28" s="37">
        <v>21</v>
      </c>
      <c r="AO28" s="37">
        <f>M28*0</f>
        <v>0</v>
      </c>
      <c r="AP28" s="37">
        <f>M28*(1-0)</f>
        <v>0</v>
      </c>
      <c r="AQ28" s="38" t="s">
        <v>6</v>
      </c>
      <c r="AV28" s="37">
        <f>AW28+AX28</f>
        <v>0</v>
      </c>
      <c r="AW28" s="37">
        <f>L28*AO28</f>
        <v>0</v>
      </c>
      <c r="AX28" s="37">
        <f>L28*AP28</f>
        <v>0</v>
      </c>
      <c r="AY28" s="40" t="s">
        <v>238</v>
      </c>
      <c r="AZ28" s="40" t="s">
        <v>246</v>
      </c>
      <c r="BA28" s="36" t="s">
        <v>253</v>
      </c>
      <c r="BC28" s="37">
        <f>AW28+AX28</f>
        <v>0</v>
      </c>
      <c r="BD28" s="37">
        <f>M28/(100-BE28)*100</f>
        <v>0</v>
      </c>
      <c r="BE28" s="37">
        <v>0</v>
      </c>
      <c r="BF28" s="37">
        <f>28</f>
        <v>28</v>
      </c>
      <c r="BH28" s="27">
        <f>L28*AO28</f>
        <v>0</v>
      </c>
      <c r="BI28" s="27">
        <f>L28*AP28</f>
        <v>0</v>
      </c>
      <c r="BJ28" s="27">
        <f>L28*M28</f>
        <v>0</v>
      </c>
      <c r="BK28" s="27" t="s">
        <v>259</v>
      </c>
      <c r="BL28" s="37">
        <v>13</v>
      </c>
    </row>
    <row r="29" spans="1:15" ht="12.75">
      <c r="A29" s="6"/>
      <c r="D29" s="20" t="s">
        <v>140</v>
      </c>
      <c r="J29" s="22" t="s">
        <v>210</v>
      </c>
      <c r="L29" s="75">
        <v>0.5</v>
      </c>
      <c r="N29" s="34"/>
      <c r="O29" s="6"/>
    </row>
    <row r="30" spans="1:64" ht="12.75">
      <c r="A30" s="5" t="s">
        <v>13</v>
      </c>
      <c r="B30" s="16" t="s">
        <v>61</v>
      </c>
      <c r="C30" s="16" t="s">
        <v>71</v>
      </c>
      <c r="D30" s="86" t="s">
        <v>141</v>
      </c>
      <c r="E30" s="87"/>
      <c r="F30" s="87"/>
      <c r="G30" s="87"/>
      <c r="H30" s="87"/>
      <c r="I30" s="87"/>
      <c r="J30" s="87"/>
      <c r="K30" s="16" t="s">
        <v>215</v>
      </c>
      <c r="L30" s="74">
        <v>28.45325</v>
      </c>
      <c r="M30" s="27">
        <v>0</v>
      </c>
      <c r="N30" s="44">
        <f>L30*M30</f>
        <v>0</v>
      </c>
      <c r="O30" s="6"/>
      <c r="Z30" s="37">
        <f>IF(AQ30="5",BJ30,0)</f>
        <v>0</v>
      </c>
      <c r="AB30" s="37">
        <f>IF(AQ30="1",BH30,0)</f>
        <v>0</v>
      </c>
      <c r="AC30" s="37">
        <f>IF(AQ30="1",BI30,0)</f>
        <v>0</v>
      </c>
      <c r="AD30" s="37">
        <f>IF(AQ30="7",BH30,0)</f>
        <v>0</v>
      </c>
      <c r="AE30" s="37">
        <f>IF(AQ30="7",BI30,0)</f>
        <v>0</v>
      </c>
      <c r="AF30" s="37">
        <f>IF(AQ30="2",BH30,0)</f>
        <v>0</v>
      </c>
      <c r="AG30" s="37">
        <f>IF(AQ30="2",BI30,0)</f>
        <v>0</v>
      </c>
      <c r="AH30" s="37">
        <f>IF(AQ30="0",BJ30,0)</f>
        <v>0</v>
      </c>
      <c r="AI30" s="36" t="s">
        <v>61</v>
      </c>
      <c r="AJ30" s="27">
        <f>IF(AN30=0,N30,0)</f>
        <v>0</v>
      </c>
      <c r="AK30" s="27">
        <f>IF(AN30=15,N30,0)</f>
        <v>0</v>
      </c>
      <c r="AL30" s="27">
        <f>IF(AN30=21,N30,0)</f>
        <v>0</v>
      </c>
      <c r="AN30" s="37">
        <v>21</v>
      </c>
      <c r="AO30" s="37">
        <f>M30*0</f>
        <v>0</v>
      </c>
      <c r="AP30" s="37">
        <f>M30*(1-0)</f>
        <v>0</v>
      </c>
      <c r="AQ30" s="38" t="s">
        <v>6</v>
      </c>
      <c r="AV30" s="37">
        <f>AW30+AX30</f>
        <v>0</v>
      </c>
      <c r="AW30" s="37">
        <f>L30*AO30</f>
        <v>0</v>
      </c>
      <c r="AX30" s="37">
        <f>L30*AP30</f>
        <v>0</v>
      </c>
      <c r="AY30" s="40" t="s">
        <v>238</v>
      </c>
      <c r="AZ30" s="40" t="s">
        <v>246</v>
      </c>
      <c r="BA30" s="36" t="s">
        <v>253</v>
      </c>
      <c r="BC30" s="37">
        <f>AW30+AX30</f>
        <v>0</v>
      </c>
      <c r="BD30" s="37">
        <f>M30/(100-BE30)*100</f>
        <v>0</v>
      </c>
      <c r="BE30" s="37">
        <v>0</v>
      </c>
      <c r="BF30" s="37">
        <f>30</f>
        <v>30</v>
      </c>
      <c r="BH30" s="27">
        <f>L30*AO30</f>
        <v>0</v>
      </c>
      <c r="BI30" s="27">
        <f>L30*AP30</f>
        <v>0</v>
      </c>
      <c r="BJ30" s="27">
        <f>L30*M30</f>
        <v>0</v>
      </c>
      <c r="BK30" s="27" t="s">
        <v>259</v>
      </c>
      <c r="BL30" s="37">
        <v>13</v>
      </c>
    </row>
    <row r="31" spans="1:15" ht="12.75">
      <c r="A31" s="6"/>
      <c r="D31" s="20" t="s">
        <v>142</v>
      </c>
      <c r="J31" s="22"/>
      <c r="L31" s="75">
        <v>28.45325</v>
      </c>
      <c r="N31" s="34"/>
      <c r="O31" s="6"/>
    </row>
    <row r="32" spans="1:64" ht="12.75">
      <c r="A32" s="5" t="s">
        <v>14</v>
      </c>
      <c r="B32" s="16" t="s">
        <v>61</v>
      </c>
      <c r="C32" s="16" t="s">
        <v>72</v>
      </c>
      <c r="D32" s="86" t="s">
        <v>143</v>
      </c>
      <c r="E32" s="87"/>
      <c r="F32" s="87"/>
      <c r="G32" s="87"/>
      <c r="H32" s="87"/>
      <c r="I32" s="87"/>
      <c r="J32" s="87"/>
      <c r="K32" s="16" t="s">
        <v>215</v>
      </c>
      <c r="L32" s="74">
        <v>19.155</v>
      </c>
      <c r="M32" s="27">
        <v>0</v>
      </c>
      <c r="N32" s="44">
        <f>L32*M32</f>
        <v>0</v>
      </c>
      <c r="O32" s="6"/>
      <c r="Z32" s="37">
        <f>IF(AQ32="5",BJ32,0)</f>
        <v>0</v>
      </c>
      <c r="AB32" s="37">
        <f>IF(AQ32="1",BH32,0)</f>
        <v>0</v>
      </c>
      <c r="AC32" s="37">
        <f>IF(AQ32="1",BI32,0)</f>
        <v>0</v>
      </c>
      <c r="AD32" s="37">
        <f>IF(AQ32="7",BH32,0)</f>
        <v>0</v>
      </c>
      <c r="AE32" s="37">
        <f>IF(AQ32="7",BI32,0)</f>
        <v>0</v>
      </c>
      <c r="AF32" s="37">
        <f>IF(AQ32="2",BH32,0)</f>
        <v>0</v>
      </c>
      <c r="AG32" s="37">
        <f>IF(AQ32="2",BI32,0)</f>
        <v>0</v>
      </c>
      <c r="AH32" s="37">
        <f>IF(AQ32="0",BJ32,0)</f>
        <v>0</v>
      </c>
      <c r="AI32" s="36" t="s">
        <v>61</v>
      </c>
      <c r="AJ32" s="27">
        <f>IF(AN32=0,N32,0)</f>
        <v>0</v>
      </c>
      <c r="AK32" s="27">
        <f>IF(AN32=15,N32,0)</f>
        <v>0</v>
      </c>
      <c r="AL32" s="27">
        <f>IF(AN32=21,N32,0)</f>
        <v>0</v>
      </c>
      <c r="AN32" s="37">
        <v>21</v>
      </c>
      <c r="AO32" s="37">
        <f>M32*0</f>
        <v>0</v>
      </c>
      <c r="AP32" s="37">
        <f>M32*(1-0)</f>
        <v>0</v>
      </c>
      <c r="AQ32" s="38" t="s">
        <v>6</v>
      </c>
      <c r="AV32" s="37">
        <f>AW32+AX32</f>
        <v>0</v>
      </c>
      <c r="AW32" s="37">
        <f>L32*AO32</f>
        <v>0</v>
      </c>
      <c r="AX32" s="37">
        <f>L32*AP32</f>
        <v>0</v>
      </c>
      <c r="AY32" s="40" t="s">
        <v>238</v>
      </c>
      <c r="AZ32" s="40" t="s">
        <v>246</v>
      </c>
      <c r="BA32" s="36" t="s">
        <v>253</v>
      </c>
      <c r="BC32" s="37">
        <f>AW32+AX32</f>
        <v>0</v>
      </c>
      <c r="BD32" s="37">
        <f>M32/(100-BE32)*100</f>
        <v>0</v>
      </c>
      <c r="BE32" s="37">
        <v>0</v>
      </c>
      <c r="BF32" s="37">
        <f>32</f>
        <v>32</v>
      </c>
      <c r="BH32" s="27">
        <f>L32*AO32</f>
        <v>0</v>
      </c>
      <c r="BI32" s="27">
        <f>L32*AP32</f>
        <v>0</v>
      </c>
      <c r="BJ32" s="27">
        <f>L32*M32</f>
        <v>0</v>
      </c>
      <c r="BK32" s="27" t="s">
        <v>259</v>
      </c>
      <c r="BL32" s="37">
        <v>13</v>
      </c>
    </row>
    <row r="33" spans="1:15" ht="12.75">
      <c r="A33" s="6"/>
      <c r="D33" s="20" t="s">
        <v>135</v>
      </c>
      <c r="J33" s="22" t="s">
        <v>209</v>
      </c>
      <c r="L33" s="75">
        <v>21</v>
      </c>
      <c r="N33" s="34"/>
      <c r="O33" s="6"/>
    </row>
    <row r="34" spans="1:15" ht="12.75">
      <c r="A34" s="6"/>
      <c r="D34" s="20" t="s">
        <v>144</v>
      </c>
      <c r="J34" s="22"/>
      <c r="L34" s="75">
        <v>-1.8</v>
      </c>
      <c r="N34" s="34"/>
      <c r="O34" s="6"/>
    </row>
    <row r="35" spans="1:15" ht="12.75">
      <c r="A35" s="6"/>
      <c r="D35" s="20" t="s">
        <v>145</v>
      </c>
      <c r="J35" s="22"/>
      <c r="L35" s="75">
        <v>-0.045</v>
      </c>
      <c r="N35" s="34"/>
      <c r="O35" s="6"/>
    </row>
    <row r="36" spans="1:64" ht="12.75">
      <c r="A36" s="7" t="s">
        <v>15</v>
      </c>
      <c r="B36" s="17" t="s">
        <v>61</v>
      </c>
      <c r="C36" s="17" t="s">
        <v>73</v>
      </c>
      <c r="D36" s="95" t="s">
        <v>146</v>
      </c>
      <c r="E36" s="96"/>
      <c r="F36" s="96"/>
      <c r="G36" s="96"/>
      <c r="H36" s="96"/>
      <c r="I36" s="96"/>
      <c r="J36" s="96"/>
      <c r="K36" s="17" t="s">
        <v>216</v>
      </c>
      <c r="L36" s="76">
        <v>35.43675</v>
      </c>
      <c r="M36" s="28">
        <v>0</v>
      </c>
      <c r="N36" s="45">
        <f>L36*M36</f>
        <v>0</v>
      </c>
      <c r="O36" s="6"/>
      <c r="Z36" s="37">
        <f>IF(AQ36="5",BJ36,0)</f>
        <v>0</v>
      </c>
      <c r="AB36" s="37">
        <f>IF(AQ36="1",BH36,0)</f>
        <v>0</v>
      </c>
      <c r="AC36" s="37">
        <f>IF(AQ36="1",BI36,0)</f>
        <v>0</v>
      </c>
      <c r="AD36" s="37">
        <f>IF(AQ36="7",BH36,0)</f>
        <v>0</v>
      </c>
      <c r="AE36" s="37">
        <f>IF(AQ36="7",BI36,0)</f>
        <v>0</v>
      </c>
      <c r="AF36" s="37">
        <f>IF(AQ36="2",BH36,0)</f>
        <v>0</v>
      </c>
      <c r="AG36" s="37">
        <f>IF(AQ36="2",BI36,0)</f>
        <v>0</v>
      </c>
      <c r="AH36" s="37">
        <f>IF(AQ36="0",BJ36,0)</f>
        <v>0</v>
      </c>
      <c r="AI36" s="36" t="s">
        <v>61</v>
      </c>
      <c r="AJ36" s="28">
        <f>IF(AN36=0,N36,0)</f>
        <v>0</v>
      </c>
      <c r="AK36" s="28">
        <f>IF(AN36=15,N36,0)</f>
        <v>0</v>
      </c>
      <c r="AL36" s="28">
        <f>IF(AN36=21,N36,0)</f>
        <v>0</v>
      </c>
      <c r="AN36" s="37">
        <v>21</v>
      </c>
      <c r="AO36" s="37">
        <f>M36*1</f>
        <v>0</v>
      </c>
      <c r="AP36" s="37">
        <f>M36*(1-1)</f>
        <v>0</v>
      </c>
      <c r="AQ36" s="39" t="s">
        <v>6</v>
      </c>
      <c r="AV36" s="37">
        <f>AW36+AX36</f>
        <v>0</v>
      </c>
      <c r="AW36" s="37">
        <f>L36*AO36</f>
        <v>0</v>
      </c>
      <c r="AX36" s="37">
        <f>L36*AP36</f>
        <v>0</v>
      </c>
      <c r="AY36" s="40" t="s">
        <v>238</v>
      </c>
      <c r="AZ36" s="40" t="s">
        <v>246</v>
      </c>
      <c r="BA36" s="36" t="s">
        <v>253</v>
      </c>
      <c r="BC36" s="37">
        <f>AW36+AX36</f>
        <v>0</v>
      </c>
      <c r="BD36" s="37">
        <f>M36/(100-BE36)*100</f>
        <v>0</v>
      </c>
      <c r="BE36" s="37">
        <v>0</v>
      </c>
      <c r="BF36" s="37">
        <f>36</f>
        <v>36</v>
      </c>
      <c r="BH36" s="28">
        <f>L36*AO36</f>
        <v>0</v>
      </c>
      <c r="BI36" s="28">
        <f>L36*AP36</f>
        <v>0</v>
      </c>
      <c r="BJ36" s="28">
        <f>L36*M36</f>
        <v>0</v>
      </c>
      <c r="BK36" s="28" t="s">
        <v>260</v>
      </c>
      <c r="BL36" s="37">
        <v>13</v>
      </c>
    </row>
    <row r="37" spans="1:15" ht="12.75">
      <c r="A37" s="6"/>
      <c r="D37" s="20" t="s">
        <v>147</v>
      </c>
      <c r="J37" s="22"/>
      <c r="L37" s="75">
        <v>35.43675</v>
      </c>
      <c r="N37" s="34"/>
      <c r="O37" s="6"/>
    </row>
    <row r="38" spans="1:64" ht="12.75">
      <c r="A38" s="5" t="s">
        <v>16</v>
      </c>
      <c r="B38" s="16" t="s">
        <v>61</v>
      </c>
      <c r="C38" s="16" t="s">
        <v>74</v>
      </c>
      <c r="D38" s="86" t="s">
        <v>148</v>
      </c>
      <c r="E38" s="87"/>
      <c r="F38" s="87"/>
      <c r="G38" s="87"/>
      <c r="H38" s="87"/>
      <c r="I38" s="87"/>
      <c r="J38" s="87"/>
      <c r="K38" s="16" t="s">
        <v>215</v>
      </c>
      <c r="L38" s="74">
        <v>24.155</v>
      </c>
      <c r="M38" s="27">
        <v>0</v>
      </c>
      <c r="N38" s="44">
        <f>L38*M38</f>
        <v>0</v>
      </c>
      <c r="O38" s="6"/>
      <c r="Z38" s="37">
        <f>IF(AQ38="5",BJ38,0)</f>
        <v>0</v>
      </c>
      <c r="AB38" s="37">
        <f>IF(AQ38="1",BH38,0)</f>
        <v>0</v>
      </c>
      <c r="AC38" s="37">
        <f>IF(AQ38="1",BI38,0)</f>
        <v>0</v>
      </c>
      <c r="AD38" s="37">
        <f>IF(AQ38="7",BH38,0)</f>
        <v>0</v>
      </c>
      <c r="AE38" s="37">
        <f>IF(AQ38="7",BI38,0)</f>
        <v>0</v>
      </c>
      <c r="AF38" s="37">
        <f>IF(AQ38="2",BH38,0)</f>
        <v>0</v>
      </c>
      <c r="AG38" s="37">
        <f>IF(AQ38="2",BI38,0)</f>
        <v>0</v>
      </c>
      <c r="AH38" s="37">
        <f>IF(AQ38="0",BJ38,0)</f>
        <v>0</v>
      </c>
      <c r="AI38" s="36" t="s">
        <v>61</v>
      </c>
      <c r="AJ38" s="27">
        <f>IF(AN38=0,N38,0)</f>
        <v>0</v>
      </c>
      <c r="AK38" s="27">
        <f>IF(AN38=15,N38,0)</f>
        <v>0</v>
      </c>
      <c r="AL38" s="27">
        <f>IF(AN38=21,N38,0)</f>
        <v>0</v>
      </c>
      <c r="AN38" s="37">
        <v>21</v>
      </c>
      <c r="AO38" s="37">
        <f>M38*0</f>
        <v>0</v>
      </c>
      <c r="AP38" s="37">
        <f>M38*(1-0)</f>
        <v>0</v>
      </c>
      <c r="AQ38" s="38" t="s">
        <v>6</v>
      </c>
      <c r="AV38" s="37">
        <f>AW38+AX38</f>
        <v>0</v>
      </c>
      <c r="AW38" s="37">
        <f>L38*AO38</f>
        <v>0</v>
      </c>
      <c r="AX38" s="37">
        <f>L38*AP38</f>
        <v>0</v>
      </c>
      <c r="AY38" s="40" t="s">
        <v>238</v>
      </c>
      <c r="AZ38" s="40" t="s">
        <v>246</v>
      </c>
      <c r="BA38" s="36" t="s">
        <v>253</v>
      </c>
      <c r="BC38" s="37">
        <f>AW38+AX38</f>
        <v>0</v>
      </c>
      <c r="BD38" s="37">
        <f>M38/(100-BE38)*100</f>
        <v>0</v>
      </c>
      <c r="BE38" s="37">
        <v>0</v>
      </c>
      <c r="BF38" s="37">
        <f>38</f>
        <v>38</v>
      </c>
      <c r="BH38" s="27">
        <f>L38*AO38</f>
        <v>0</v>
      </c>
      <c r="BI38" s="27">
        <f>L38*AP38</f>
        <v>0</v>
      </c>
      <c r="BJ38" s="27">
        <f>L38*M38</f>
        <v>0</v>
      </c>
      <c r="BK38" s="27" t="s">
        <v>259</v>
      </c>
      <c r="BL38" s="37">
        <v>13</v>
      </c>
    </row>
    <row r="39" spans="1:15" ht="12.75">
      <c r="A39" s="6"/>
      <c r="D39" s="20" t="s">
        <v>149</v>
      </c>
      <c r="J39" s="22"/>
      <c r="L39" s="75">
        <v>24.155</v>
      </c>
      <c r="N39" s="34"/>
      <c r="O39" s="6"/>
    </row>
    <row r="40" spans="1:64" ht="12.75">
      <c r="A40" s="5" t="s">
        <v>17</v>
      </c>
      <c r="B40" s="16" t="s">
        <v>61</v>
      </c>
      <c r="C40" s="16" t="s">
        <v>75</v>
      </c>
      <c r="D40" s="86" t="s">
        <v>150</v>
      </c>
      <c r="E40" s="87"/>
      <c r="F40" s="87"/>
      <c r="G40" s="87"/>
      <c r="H40" s="87"/>
      <c r="I40" s="87"/>
      <c r="J40" s="87"/>
      <c r="K40" s="16" t="s">
        <v>215</v>
      </c>
      <c r="L40" s="74">
        <v>17.35</v>
      </c>
      <c r="M40" s="27">
        <v>0</v>
      </c>
      <c r="N40" s="44">
        <f>L40*M40</f>
        <v>0</v>
      </c>
      <c r="O40" s="6"/>
      <c r="Z40" s="37">
        <f>IF(AQ40="5",BJ40,0)</f>
        <v>0</v>
      </c>
      <c r="AB40" s="37">
        <f>IF(AQ40="1",BH40,0)</f>
        <v>0</v>
      </c>
      <c r="AC40" s="37">
        <f>IF(AQ40="1",BI40,0)</f>
        <v>0</v>
      </c>
      <c r="AD40" s="37">
        <f>IF(AQ40="7",BH40,0)</f>
        <v>0</v>
      </c>
      <c r="AE40" s="37">
        <f>IF(AQ40="7",BI40,0)</f>
        <v>0</v>
      </c>
      <c r="AF40" s="37">
        <f>IF(AQ40="2",BH40,0)</f>
        <v>0</v>
      </c>
      <c r="AG40" s="37">
        <f>IF(AQ40="2",BI40,0)</f>
        <v>0</v>
      </c>
      <c r="AH40" s="37">
        <f>IF(AQ40="0",BJ40,0)</f>
        <v>0</v>
      </c>
      <c r="AI40" s="36" t="s">
        <v>61</v>
      </c>
      <c r="AJ40" s="27">
        <f>IF(AN40=0,N40,0)</f>
        <v>0</v>
      </c>
      <c r="AK40" s="27">
        <f>IF(AN40=15,N40,0)</f>
        <v>0</v>
      </c>
      <c r="AL40" s="27">
        <f>IF(AN40=21,N40,0)</f>
        <v>0</v>
      </c>
      <c r="AN40" s="37">
        <v>21</v>
      </c>
      <c r="AO40" s="37">
        <f>M40*0</f>
        <v>0</v>
      </c>
      <c r="AP40" s="37">
        <f>M40*(1-0)</f>
        <v>0</v>
      </c>
      <c r="AQ40" s="38" t="s">
        <v>6</v>
      </c>
      <c r="AV40" s="37">
        <f>AW40+AX40</f>
        <v>0</v>
      </c>
      <c r="AW40" s="37">
        <f>L40*AO40</f>
        <v>0</v>
      </c>
      <c r="AX40" s="37">
        <f>L40*AP40</f>
        <v>0</v>
      </c>
      <c r="AY40" s="40" t="s">
        <v>238</v>
      </c>
      <c r="AZ40" s="40" t="s">
        <v>246</v>
      </c>
      <c r="BA40" s="36" t="s">
        <v>253</v>
      </c>
      <c r="BC40" s="37">
        <f>AW40+AX40</f>
        <v>0</v>
      </c>
      <c r="BD40" s="37">
        <f>M40/(100-BE40)*100</f>
        <v>0</v>
      </c>
      <c r="BE40" s="37">
        <v>0</v>
      </c>
      <c r="BF40" s="37">
        <f>40</f>
        <v>40</v>
      </c>
      <c r="BH40" s="27">
        <f>L40*AO40</f>
        <v>0</v>
      </c>
      <c r="BI40" s="27">
        <f>L40*AP40</f>
        <v>0</v>
      </c>
      <c r="BJ40" s="27">
        <f>L40*M40</f>
        <v>0</v>
      </c>
      <c r="BK40" s="27" t="s">
        <v>259</v>
      </c>
      <c r="BL40" s="37">
        <v>13</v>
      </c>
    </row>
    <row r="41" spans="1:15" ht="12.75">
      <c r="A41" s="6"/>
      <c r="D41" s="20" t="s">
        <v>151</v>
      </c>
      <c r="J41" s="22" t="s">
        <v>211</v>
      </c>
      <c r="L41" s="75">
        <v>17.35</v>
      </c>
      <c r="N41" s="34"/>
      <c r="O41" s="6"/>
    </row>
    <row r="42" spans="1:64" ht="12.75">
      <c r="A42" s="5" t="s">
        <v>18</v>
      </c>
      <c r="B42" s="16" t="s">
        <v>61</v>
      </c>
      <c r="C42" s="16" t="s">
        <v>74</v>
      </c>
      <c r="D42" s="86" t="s">
        <v>148</v>
      </c>
      <c r="E42" s="87"/>
      <c r="F42" s="87"/>
      <c r="G42" s="87"/>
      <c r="H42" s="87"/>
      <c r="I42" s="87"/>
      <c r="J42" s="87"/>
      <c r="K42" s="16" t="s">
        <v>215</v>
      </c>
      <c r="L42" s="74">
        <v>21</v>
      </c>
      <c r="M42" s="27">
        <v>0</v>
      </c>
      <c r="N42" s="44">
        <f>L42*M42</f>
        <v>0</v>
      </c>
      <c r="O42" s="6"/>
      <c r="Z42" s="37">
        <f>IF(AQ42="5",BJ42,0)</f>
        <v>0</v>
      </c>
      <c r="AB42" s="37">
        <f>IF(AQ42="1",BH42,0)</f>
        <v>0</v>
      </c>
      <c r="AC42" s="37">
        <f>IF(AQ42="1",BI42,0)</f>
        <v>0</v>
      </c>
      <c r="AD42" s="37">
        <f>IF(AQ42="7",BH42,0)</f>
        <v>0</v>
      </c>
      <c r="AE42" s="37">
        <f>IF(AQ42="7",BI42,0)</f>
        <v>0</v>
      </c>
      <c r="AF42" s="37">
        <f>IF(AQ42="2",BH42,0)</f>
        <v>0</v>
      </c>
      <c r="AG42" s="37">
        <f>IF(AQ42="2",BI42,0)</f>
        <v>0</v>
      </c>
      <c r="AH42" s="37">
        <f>IF(AQ42="0",BJ42,0)</f>
        <v>0</v>
      </c>
      <c r="AI42" s="36" t="s">
        <v>61</v>
      </c>
      <c r="AJ42" s="27">
        <f>IF(AN42=0,N42,0)</f>
        <v>0</v>
      </c>
      <c r="AK42" s="27">
        <f>IF(AN42=15,N42,0)</f>
        <v>0</v>
      </c>
      <c r="AL42" s="27">
        <f>IF(AN42=21,N42,0)</f>
        <v>0</v>
      </c>
      <c r="AN42" s="37">
        <v>21</v>
      </c>
      <c r="AO42" s="37">
        <f>M42*0</f>
        <v>0</v>
      </c>
      <c r="AP42" s="37">
        <f>M42*(1-0)</f>
        <v>0</v>
      </c>
      <c r="AQ42" s="38" t="s">
        <v>6</v>
      </c>
      <c r="AV42" s="37">
        <f>AW42+AX42</f>
        <v>0</v>
      </c>
      <c r="AW42" s="37">
        <f>L42*AO42</f>
        <v>0</v>
      </c>
      <c r="AX42" s="37">
        <f>L42*AP42</f>
        <v>0</v>
      </c>
      <c r="AY42" s="40" t="s">
        <v>238</v>
      </c>
      <c r="AZ42" s="40" t="s">
        <v>246</v>
      </c>
      <c r="BA42" s="36" t="s">
        <v>253</v>
      </c>
      <c r="BC42" s="37">
        <f>AW42+AX42</f>
        <v>0</v>
      </c>
      <c r="BD42" s="37">
        <f>M42/(100-BE42)*100</f>
        <v>0</v>
      </c>
      <c r="BE42" s="37">
        <v>0</v>
      </c>
      <c r="BF42" s="37">
        <f>42</f>
        <v>42</v>
      </c>
      <c r="BH42" s="27">
        <f>L42*AO42</f>
        <v>0</v>
      </c>
      <c r="BI42" s="27">
        <f>L42*AP42</f>
        <v>0</v>
      </c>
      <c r="BJ42" s="27">
        <f>L42*M42</f>
        <v>0</v>
      </c>
      <c r="BK42" s="27" t="s">
        <v>259</v>
      </c>
      <c r="BL42" s="37">
        <v>13</v>
      </c>
    </row>
    <row r="43" spans="1:15" ht="12.75">
      <c r="A43" s="6"/>
      <c r="D43" s="20" t="s">
        <v>135</v>
      </c>
      <c r="J43" s="22" t="s">
        <v>209</v>
      </c>
      <c r="L43" s="75">
        <v>21</v>
      </c>
      <c r="N43" s="34"/>
      <c r="O43" s="6"/>
    </row>
    <row r="44" spans="1:64" ht="12.75">
      <c r="A44" s="5" t="s">
        <v>19</v>
      </c>
      <c r="B44" s="16" t="s">
        <v>61</v>
      </c>
      <c r="C44" s="16" t="s">
        <v>76</v>
      </c>
      <c r="D44" s="86" t="s">
        <v>152</v>
      </c>
      <c r="E44" s="87"/>
      <c r="F44" s="87"/>
      <c r="G44" s="87"/>
      <c r="H44" s="87"/>
      <c r="I44" s="87"/>
      <c r="J44" s="87"/>
      <c r="K44" s="16" t="s">
        <v>214</v>
      </c>
      <c r="L44" s="74">
        <v>36</v>
      </c>
      <c r="M44" s="27">
        <v>0</v>
      </c>
      <c r="N44" s="44">
        <f>L44*M44</f>
        <v>0</v>
      </c>
      <c r="O44" s="6"/>
      <c r="Z44" s="37">
        <f>IF(AQ44="5",BJ44,0)</f>
        <v>0</v>
      </c>
      <c r="AB44" s="37">
        <f>IF(AQ44="1",BH44,0)</f>
        <v>0</v>
      </c>
      <c r="AC44" s="37">
        <f>IF(AQ44="1",BI44,0)</f>
        <v>0</v>
      </c>
      <c r="AD44" s="37">
        <f>IF(AQ44="7",BH44,0)</f>
        <v>0</v>
      </c>
      <c r="AE44" s="37">
        <f>IF(AQ44="7",BI44,0)</f>
        <v>0</v>
      </c>
      <c r="AF44" s="37">
        <f>IF(AQ44="2",BH44,0)</f>
        <v>0</v>
      </c>
      <c r="AG44" s="37">
        <f>IF(AQ44="2",BI44,0)</f>
        <v>0</v>
      </c>
      <c r="AH44" s="37">
        <f>IF(AQ44="0",BJ44,0)</f>
        <v>0</v>
      </c>
      <c r="AI44" s="36" t="s">
        <v>61</v>
      </c>
      <c r="AJ44" s="27">
        <f>IF(AN44=0,N44,0)</f>
        <v>0</v>
      </c>
      <c r="AK44" s="27">
        <f>IF(AN44=15,N44,0)</f>
        <v>0</v>
      </c>
      <c r="AL44" s="27">
        <f>IF(AN44=21,N44,0)</f>
        <v>0</v>
      </c>
      <c r="AN44" s="37">
        <v>21</v>
      </c>
      <c r="AO44" s="37">
        <f>M44*0.0717131474103586</f>
        <v>0</v>
      </c>
      <c r="AP44" s="37">
        <f>M44*(1-0.0717131474103586)</f>
        <v>0</v>
      </c>
      <c r="AQ44" s="38" t="s">
        <v>6</v>
      </c>
      <c r="AV44" s="37">
        <f>AW44+AX44</f>
        <v>0</v>
      </c>
      <c r="AW44" s="37">
        <f>L44*AO44</f>
        <v>0</v>
      </c>
      <c r="AX44" s="37">
        <f>L44*AP44</f>
        <v>0</v>
      </c>
      <c r="AY44" s="40" t="s">
        <v>238</v>
      </c>
      <c r="AZ44" s="40" t="s">
        <v>246</v>
      </c>
      <c r="BA44" s="36" t="s">
        <v>253</v>
      </c>
      <c r="BC44" s="37">
        <f>AW44+AX44</f>
        <v>0</v>
      </c>
      <c r="BD44" s="37">
        <f>M44/(100-BE44)*100</f>
        <v>0</v>
      </c>
      <c r="BE44" s="37">
        <v>0</v>
      </c>
      <c r="BF44" s="37">
        <f>44</f>
        <v>44</v>
      </c>
      <c r="BH44" s="27">
        <f>L44*AO44</f>
        <v>0</v>
      </c>
      <c r="BI44" s="27">
        <f>L44*AP44</f>
        <v>0</v>
      </c>
      <c r="BJ44" s="27">
        <f>L44*M44</f>
        <v>0</v>
      </c>
      <c r="BK44" s="27" t="s">
        <v>259</v>
      </c>
      <c r="BL44" s="37">
        <v>13</v>
      </c>
    </row>
    <row r="45" spans="1:64" ht="12.75">
      <c r="A45" s="7" t="s">
        <v>20</v>
      </c>
      <c r="B45" s="17" t="s">
        <v>61</v>
      </c>
      <c r="C45" s="17" t="s">
        <v>77</v>
      </c>
      <c r="D45" s="95" t="s">
        <v>153</v>
      </c>
      <c r="E45" s="96"/>
      <c r="F45" s="96"/>
      <c r="G45" s="96"/>
      <c r="H45" s="96"/>
      <c r="I45" s="96"/>
      <c r="J45" s="96"/>
      <c r="K45" s="17" t="s">
        <v>217</v>
      </c>
      <c r="L45" s="76">
        <v>1.5</v>
      </c>
      <c r="M45" s="28">
        <v>0</v>
      </c>
      <c r="N45" s="45">
        <f>L45*M45</f>
        <v>0</v>
      </c>
      <c r="O45" s="6"/>
      <c r="Z45" s="37">
        <f>IF(AQ45="5",BJ45,0)</f>
        <v>0</v>
      </c>
      <c r="AB45" s="37">
        <f>IF(AQ45="1",BH45,0)</f>
        <v>0</v>
      </c>
      <c r="AC45" s="37">
        <f>IF(AQ45="1",BI45,0)</f>
        <v>0</v>
      </c>
      <c r="AD45" s="37">
        <f>IF(AQ45="7",BH45,0)</f>
        <v>0</v>
      </c>
      <c r="AE45" s="37">
        <f>IF(AQ45="7",BI45,0)</f>
        <v>0</v>
      </c>
      <c r="AF45" s="37">
        <f>IF(AQ45="2",BH45,0)</f>
        <v>0</v>
      </c>
      <c r="AG45" s="37">
        <f>IF(AQ45="2",BI45,0)</f>
        <v>0</v>
      </c>
      <c r="AH45" s="37">
        <f>IF(AQ45="0",BJ45,0)</f>
        <v>0</v>
      </c>
      <c r="AI45" s="36" t="s">
        <v>61</v>
      </c>
      <c r="AJ45" s="28">
        <f>IF(AN45=0,N45,0)</f>
        <v>0</v>
      </c>
      <c r="AK45" s="28">
        <f>IF(AN45=15,N45,0)</f>
        <v>0</v>
      </c>
      <c r="AL45" s="28">
        <f>IF(AN45=21,N45,0)</f>
        <v>0</v>
      </c>
      <c r="AN45" s="37">
        <v>21</v>
      </c>
      <c r="AO45" s="37">
        <f>M45*1</f>
        <v>0</v>
      </c>
      <c r="AP45" s="37">
        <f>M45*(1-1)</f>
        <v>0</v>
      </c>
      <c r="AQ45" s="39" t="s">
        <v>6</v>
      </c>
      <c r="AV45" s="37">
        <f>AW45+AX45</f>
        <v>0</v>
      </c>
      <c r="AW45" s="37">
        <f>L45*AO45</f>
        <v>0</v>
      </c>
      <c r="AX45" s="37">
        <f>L45*AP45</f>
        <v>0</v>
      </c>
      <c r="AY45" s="40" t="s">
        <v>238</v>
      </c>
      <c r="AZ45" s="40" t="s">
        <v>246</v>
      </c>
      <c r="BA45" s="36" t="s">
        <v>253</v>
      </c>
      <c r="BC45" s="37">
        <f>AW45+AX45</f>
        <v>0</v>
      </c>
      <c r="BD45" s="37">
        <f>M45/(100-BE45)*100</f>
        <v>0</v>
      </c>
      <c r="BE45" s="37">
        <v>0</v>
      </c>
      <c r="BF45" s="37">
        <f>45</f>
        <v>45</v>
      </c>
      <c r="BH45" s="28">
        <f>L45*AO45</f>
        <v>0</v>
      </c>
      <c r="BI45" s="28">
        <f>L45*AP45</f>
        <v>0</v>
      </c>
      <c r="BJ45" s="28">
        <f>L45*M45</f>
        <v>0</v>
      </c>
      <c r="BK45" s="28" t="s">
        <v>260</v>
      </c>
      <c r="BL45" s="37">
        <v>13</v>
      </c>
    </row>
    <row r="46" spans="1:64" ht="12.75">
      <c r="A46" s="5" t="s">
        <v>21</v>
      </c>
      <c r="B46" s="16" t="s">
        <v>61</v>
      </c>
      <c r="C46" s="16" t="s">
        <v>78</v>
      </c>
      <c r="D46" s="86" t="s">
        <v>154</v>
      </c>
      <c r="E46" s="87"/>
      <c r="F46" s="87"/>
      <c r="G46" s="87"/>
      <c r="H46" s="87"/>
      <c r="I46" s="87"/>
      <c r="J46" s="87"/>
      <c r="K46" s="16" t="s">
        <v>214</v>
      </c>
      <c r="L46" s="74">
        <v>36</v>
      </c>
      <c r="M46" s="27">
        <v>0</v>
      </c>
      <c r="N46" s="44">
        <f>L46*M46</f>
        <v>0</v>
      </c>
      <c r="O46" s="6"/>
      <c r="Z46" s="37">
        <f>IF(AQ46="5",BJ46,0)</f>
        <v>0</v>
      </c>
      <c r="AB46" s="37">
        <f>IF(AQ46="1",BH46,0)</f>
        <v>0</v>
      </c>
      <c r="AC46" s="37">
        <f>IF(AQ46="1",BI46,0)</f>
        <v>0</v>
      </c>
      <c r="AD46" s="37">
        <f>IF(AQ46="7",BH46,0)</f>
        <v>0</v>
      </c>
      <c r="AE46" s="37">
        <f>IF(AQ46="7",BI46,0)</f>
        <v>0</v>
      </c>
      <c r="AF46" s="37">
        <f>IF(AQ46="2",BH46,0)</f>
        <v>0</v>
      </c>
      <c r="AG46" s="37">
        <f>IF(AQ46="2",BI46,0)</f>
        <v>0</v>
      </c>
      <c r="AH46" s="37">
        <f>IF(AQ46="0",BJ46,0)</f>
        <v>0</v>
      </c>
      <c r="AI46" s="36" t="s">
        <v>61</v>
      </c>
      <c r="AJ46" s="27">
        <f>IF(AN46=0,N46,0)</f>
        <v>0</v>
      </c>
      <c r="AK46" s="27">
        <f>IF(AN46=15,N46,0)</f>
        <v>0</v>
      </c>
      <c r="AL46" s="27">
        <f>IF(AN46=21,N46,0)</f>
        <v>0</v>
      </c>
      <c r="AN46" s="37">
        <v>21</v>
      </c>
      <c r="AO46" s="37">
        <f>M46*0</f>
        <v>0</v>
      </c>
      <c r="AP46" s="37">
        <f>M46*(1-0)</f>
        <v>0</v>
      </c>
      <c r="AQ46" s="38" t="s">
        <v>6</v>
      </c>
      <c r="AV46" s="37">
        <f>AW46+AX46</f>
        <v>0</v>
      </c>
      <c r="AW46" s="37">
        <f>L46*AO46</f>
        <v>0</v>
      </c>
      <c r="AX46" s="37">
        <f>L46*AP46</f>
        <v>0</v>
      </c>
      <c r="AY46" s="40" t="s">
        <v>238</v>
      </c>
      <c r="AZ46" s="40" t="s">
        <v>246</v>
      </c>
      <c r="BA46" s="36" t="s">
        <v>253</v>
      </c>
      <c r="BC46" s="37">
        <f>AW46+AX46</f>
        <v>0</v>
      </c>
      <c r="BD46" s="37">
        <f>M46/(100-BE46)*100</f>
        <v>0</v>
      </c>
      <c r="BE46" s="37">
        <v>0</v>
      </c>
      <c r="BF46" s="37">
        <f>46</f>
        <v>46</v>
      </c>
      <c r="BH46" s="27">
        <f>L46*AO46</f>
        <v>0</v>
      </c>
      <c r="BI46" s="27">
        <f>L46*AP46</f>
        <v>0</v>
      </c>
      <c r="BJ46" s="27">
        <f>L46*M46</f>
        <v>0</v>
      </c>
      <c r="BK46" s="27" t="s">
        <v>259</v>
      </c>
      <c r="BL46" s="37">
        <v>13</v>
      </c>
    </row>
    <row r="47" spans="1:64" ht="12.75">
      <c r="A47" s="5" t="s">
        <v>22</v>
      </c>
      <c r="B47" s="16" t="s">
        <v>61</v>
      </c>
      <c r="C47" s="16" t="s">
        <v>79</v>
      </c>
      <c r="D47" s="86" t="s">
        <v>155</v>
      </c>
      <c r="E47" s="87"/>
      <c r="F47" s="87"/>
      <c r="G47" s="87"/>
      <c r="H47" s="87"/>
      <c r="I47" s="87"/>
      <c r="J47" s="87"/>
      <c r="K47" s="16" t="s">
        <v>214</v>
      </c>
      <c r="L47" s="74">
        <v>36</v>
      </c>
      <c r="M47" s="27">
        <v>0</v>
      </c>
      <c r="N47" s="44">
        <f>L47*M47</f>
        <v>0</v>
      </c>
      <c r="O47" s="6"/>
      <c r="Z47" s="37">
        <f>IF(AQ47="5",BJ47,0)</f>
        <v>0</v>
      </c>
      <c r="AB47" s="37">
        <f>IF(AQ47="1",BH47,0)</f>
        <v>0</v>
      </c>
      <c r="AC47" s="37">
        <f>IF(AQ47="1",BI47,0)</f>
        <v>0</v>
      </c>
      <c r="AD47" s="37">
        <f>IF(AQ47="7",BH47,0)</f>
        <v>0</v>
      </c>
      <c r="AE47" s="37">
        <f>IF(AQ47="7",BI47,0)</f>
        <v>0</v>
      </c>
      <c r="AF47" s="37">
        <f>IF(AQ47="2",BH47,0)</f>
        <v>0</v>
      </c>
      <c r="AG47" s="37">
        <f>IF(AQ47="2",BI47,0)</f>
        <v>0</v>
      </c>
      <c r="AH47" s="37">
        <f>IF(AQ47="0",BJ47,0)</f>
        <v>0</v>
      </c>
      <c r="AI47" s="36" t="s">
        <v>61</v>
      </c>
      <c r="AJ47" s="27">
        <f>IF(AN47=0,N47,0)</f>
        <v>0</v>
      </c>
      <c r="AK47" s="27">
        <f>IF(AN47=15,N47,0)</f>
        <v>0</v>
      </c>
      <c r="AL47" s="27">
        <f>IF(AN47=21,N47,0)</f>
        <v>0</v>
      </c>
      <c r="AN47" s="37">
        <v>21</v>
      </c>
      <c r="AO47" s="37">
        <f>M47*0</f>
        <v>0</v>
      </c>
      <c r="AP47" s="37">
        <f>M47*(1-0)</f>
        <v>0</v>
      </c>
      <c r="AQ47" s="38" t="s">
        <v>6</v>
      </c>
      <c r="AV47" s="37">
        <f>AW47+AX47</f>
        <v>0</v>
      </c>
      <c r="AW47" s="37">
        <f>L47*AO47</f>
        <v>0</v>
      </c>
      <c r="AX47" s="37">
        <f>L47*AP47</f>
        <v>0</v>
      </c>
      <c r="AY47" s="40" t="s">
        <v>238</v>
      </c>
      <c r="AZ47" s="40" t="s">
        <v>246</v>
      </c>
      <c r="BA47" s="36" t="s">
        <v>253</v>
      </c>
      <c r="BC47" s="37">
        <f>AW47+AX47</f>
        <v>0</v>
      </c>
      <c r="BD47" s="37">
        <f>M47/(100-BE47)*100</f>
        <v>0</v>
      </c>
      <c r="BE47" s="37">
        <v>0</v>
      </c>
      <c r="BF47" s="37">
        <f>47</f>
        <v>47</v>
      </c>
      <c r="BH47" s="27">
        <f>L47*AO47</f>
        <v>0</v>
      </c>
      <c r="BI47" s="27">
        <f>L47*AP47</f>
        <v>0</v>
      </c>
      <c r="BJ47" s="27">
        <f>L47*M47</f>
        <v>0</v>
      </c>
      <c r="BK47" s="27" t="s">
        <v>259</v>
      </c>
      <c r="BL47" s="37">
        <v>13</v>
      </c>
    </row>
    <row r="48" spans="1:15" ht="12.75">
      <c r="A48" s="6"/>
      <c r="D48" s="20" t="s">
        <v>41</v>
      </c>
      <c r="J48" s="22" t="s">
        <v>207</v>
      </c>
      <c r="L48" s="75">
        <v>36</v>
      </c>
      <c r="N48" s="34"/>
      <c r="O48" s="6"/>
    </row>
    <row r="49" spans="1:64" ht="12.75">
      <c r="A49" s="5" t="s">
        <v>23</v>
      </c>
      <c r="B49" s="16" t="s">
        <v>61</v>
      </c>
      <c r="C49" s="16" t="s">
        <v>80</v>
      </c>
      <c r="D49" s="86" t="s">
        <v>156</v>
      </c>
      <c r="E49" s="87"/>
      <c r="F49" s="87"/>
      <c r="G49" s="87"/>
      <c r="H49" s="87"/>
      <c r="I49" s="87"/>
      <c r="J49" s="87"/>
      <c r="K49" s="16" t="s">
        <v>215</v>
      </c>
      <c r="L49" s="74">
        <v>24.155</v>
      </c>
      <c r="M49" s="27">
        <v>0</v>
      </c>
      <c r="N49" s="44">
        <f>L49*M49</f>
        <v>0</v>
      </c>
      <c r="O49" s="6"/>
      <c r="Z49" s="37">
        <f>IF(AQ49="5",BJ49,0)</f>
        <v>0</v>
      </c>
      <c r="AB49" s="37">
        <f>IF(AQ49="1",BH49,0)</f>
        <v>0</v>
      </c>
      <c r="AC49" s="37">
        <f>IF(AQ49="1",BI49,0)</f>
        <v>0</v>
      </c>
      <c r="AD49" s="37">
        <f>IF(AQ49="7",BH49,0)</f>
        <v>0</v>
      </c>
      <c r="AE49" s="37">
        <f>IF(AQ49="7",BI49,0)</f>
        <v>0</v>
      </c>
      <c r="AF49" s="37">
        <f>IF(AQ49="2",BH49,0)</f>
        <v>0</v>
      </c>
      <c r="AG49" s="37">
        <f>IF(AQ49="2",BI49,0)</f>
        <v>0</v>
      </c>
      <c r="AH49" s="37">
        <f>IF(AQ49="0",BJ49,0)</f>
        <v>0</v>
      </c>
      <c r="AI49" s="36" t="s">
        <v>61</v>
      </c>
      <c r="AJ49" s="27">
        <f>IF(AN49=0,N49,0)</f>
        <v>0</v>
      </c>
      <c r="AK49" s="27">
        <f>IF(AN49=15,N49,0)</f>
        <v>0</v>
      </c>
      <c r="AL49" s="27">
        <f>IF(AN49=21,N49,0)</f>
        <v>0</v>
      </c>
      <c r="AN49" s="37">
        <v>21</v>
      </c>
      <c r="AO49" s="37">
        <f>M49*0</f>
        <v>0</v>
      </c>
      <c r="AP49" s="37">
        <f>M49*(1-0)</f>
        <v>0</v>
      </c>
      <c r="AQ49" s="38" t="s">
        <v>6</v>
      </c>
      <c r="AV49" s="37">
        <f>AW49+AX49</f>
        <v>0</v>
      </c>
      <c r="AW49" s="37">
        <f>L49*AO49</f>
        <v>0</v>
      </c>
      <c r="AX49" s="37">
        <f>L49*AP49</f>
        <v>0</v>
      </c>
      <c r="AY49" s="40" t="s">
        <v>238</v>
      </c>
      <c r="AZ49" s="40" t="s">
        <v>246</v>
      </c>
      <c r="BA49" s="36" t="s">
        <v>253</v>
      </c>
      <c r="BC49" s="37">
        <f>AW49+AX49</f>
        <v>0</v>
      </c>
      <c r="BD49" s="37">
        <f>M49/(100-BE49)*100</f>
        <v>0</v>
      </c>
      <c r="BE49" s="37">
        <v>0</v>
      </c>
      <c r="BF49" s="37">
        <f>49</f>
        <v>49</v>
      </c>
      <c r="BH49" s="27">
        <f>L49*AO49</f>
        <v>0</v>
      </c>
      <c r="BI49" s="27">
        <f>L49*AP49</f>
        <v>0</v>
      </c>
      <c r="BJ49" s="27">
        <f>L49*M49</f>
        <v>0</v>
      </c>
      <c r="BK49" s="27" t="s">
        <v>259</v>
      </c>
      <c r="BL49" s="37">
        <v>13</v>
      </c>
    </row>
    <row r="50" spans="1:47" ht="12.75">
      <c r="A50" s="4"/>
      <c r="B50" s="15" t="s">
        <v>61</v>
      </c>
      <c r="C50" s="15" t="s">
        <v>32</v>
      </c>
      <c r="D50" s="92" t="s">
        <v>157</v>
      </c>
      <c r="E50" s="93"/>
      <c r="F50" s="93"/>
      <c r="G50" s="93"/>
      <c r="H50" s="93"/>
      <c r="I50" s="93"/>
      <c r="J50" s="93"/>
      <c r="K50" s="24" t="s">
        <v>5</v>
      </c>
      <c r="L50" s="24" t="s">
        <v>5</v>
      </c>
      <c r="M50" s="24" t="s">
        <v>5</v>
      </c>
      <c r="N50" s="43">
        <f>SUM(N51:N66)</f>
        <v>0</v>
      </c>
      <c r="O50" s="6"/>
      <c r="AI50" s="36" t="s">
        <v>61</v>
      </c>
      <c r="AS50" s="49">
        <f>SUM(AJ51:AJ66)</f>
        <v>0</v>
      </c>
      <c r="AT50" s="49">
        <f>SUM(AK51:AK66)</f>
        <v>0</v>
      </c>
      <c r="AU50" s="49">
        <f>SUM(AL51:AL66)</f>
        <v>0</v>
      </c>
    </row>
    <row r="51" spans="1:64" ht="12.75">
      <c r="A51" s="5" t="s">
        <v>24</v>
      </c>
      <c r="B51" s="16" t="s">
        <v>61</v>
      </c>
      <c r="C51" s="16" t="s">
        <v>81</v>
      </c>
      <c r="D51" s="86" t="s">
        <v>158</v>
      </c>
      <c r="E51" s="87"/>
      <c r="F51" s="87"/>
      <c r="G51" s="87"/>
      <c r="H51" s="87"/>
      <c r="I51" s="87"/>
      <c r="J51" s="87"/>
      <c r="K51" s="16" t="s">
        <v>214</v>
      </c>
      <c r="L51" s="74">
        <v>70</v>
      </c>
      <c r="M51" s="27">
        <v>0</v>
      </c>
      <c r="N51" s="44">
        <f>L51*M51</f>
        <v>0</v>
      </c>
      <c r="O51" s="6"/>
      <c r="Z51" s="37">
        <f>IF(AQ51="5",BJ51,0)</f>
        <v>0</v>
      </c>
      <c r="AB51" s="37">
        <f>IF(AQ51="1",BH51,0)</f>
        <v>0</v>
      </c>
      <c r="AC51" s="37">
        <f>IF(AQ51="1",BI51,0)</f>
        <v>0</v>
      </c>
      <c r="AD51" s="37">
        <f>IF(AQ51="7",BH51,0)</f>
        <v>0</v>
      </c>
      <c r="AE51" s="37">
        <f>IF(AQ51="7",BI51,0)</f>
        <v>0</v>
      </c>
      <c r="AF51" s="37">
        <f>IF(AQ51="2",BH51,0)</f>
        <v>0</v>
      </c>
      <c r="AG51" s="37">
        <f>IF(AQ51="2",BI51,0)</f>
        <v>0</v>
      </c>
      <c r="AH51" s="37">
        <f>IF(AQ51="0",BJ51,0)</f>
        <v>0</v>
      </c>
      <c r="AI51" s="36" t="s">
        <v>61</v>
      </c>
      <c r="AJ51" s="27">
        <f>IF(AN51=0,N51,0)</f>
        <v>0</v>
      </c>
      <c r="AK51" s="27">
        <f>IF(AN51=15,N51,0)</f>
        <v>0</v>
      </c>
      <c r="AL51" s="27">
        <f>IF(AN51=21,N51,0)</f>
        <v>0</v>
      </c>
      <c r="AN51" s="37">
        <v>21</v>
      </c>
      <c r="AO51" s="37">
        <f>M51*0</f>
        <v>0</v>
      </c>
      <c r="AP51" s="37">
        <f>M51*(1-0)</f>
        <v>0</v>
      </c>
      <c r="AQ51" s="38" t="s">
        <v>6</v>
      </c>
      <c r="AV51" s="37">
        <f>AW51+AX51</f>
        <v>0</v>
      </c>
      <c r="AW51" s="37">
        <f>L51*AO51</f>
        <v>0</v>
      </c>
      <c r="AX51" s="37">
        <f>L51*AP51</f>
        <v>0</v>
      </c>
      <c r="AY51" s="40" t="s">
        <v>239</v>
      </c>
      <c r="AZ51" s="40" t="s">
        <v>247</v>
      </c>
      <c r="BA51" s="36" t="s">
        <v>253</v>
      </c>
      <c r="BC51" s="37">
        <f>AW51+AX51</f>
        <v>0</v>
      </c>
      <c r="BD51" s="37">
        <f>M51/(100-BE51)*100</f>
        <v>0</v>
      </c>
      <c r="BE51" s="37">
        <v>0</v>
      </c>
      <c r="BF51" s="37">
        <f>51</f>
        <v>51</v>
      </c>
      <c r="BH51" s="27">
        <f>L51*AO51</f>
        <v>0</v>
      </c>
      <c r="BI51" s="27">
        <f>L51*AP51</f>
        <v>0</v>
      </c>
      <c r="BJ51" s="27">
        <f>L51*M51</f>
        <v>0</v>
      </c>
      <c r="BK51" s="27" t="s">
        <v>259</v>
      </c>
      <c r="BL51" s="37">
        <v>27</v>
      </c>
    </row>
    <row r="52" spans="1:64" ht="12.75">
      <c r="A52" s="5" t="s">
        <v>25</v>
      </c>
      <c r="B52" s="16" t="s">
        <v>61</v>
      </c>
      <c r="C52" s="16" t="s">
        <v>82</v>
      </c>
      <c r="D52" s="86" t="s">
        <v>159</v>
      </c>
      <c r="E52" s="87"/>
      <c r="F52" s="87"/>
      <c r="G52" s="87"/>
      <c r="H52" s="87"/>
      <c r="I52" s="87"/>
      <c r="J52" s="87"/>
      <c r="K52" s="16" t="s">
        <v>215</v>
      </c>
      <c r="L52" s="80">
        <v>0</v>
      </c>
      <c r="M52" s="27">
        <v>0</v>
      </c>
      <c r="N52" s="44">
        <f>L52*M52</f>
        <v>0</v>
      </c>
      <c r="O52" s="6"/>
      <c r="Z52" s="37">
        <f>IF(AQ52="5",BJ52,0)</f>
        <v>0</v>
      </c>
      <c r="AB52" s="37">
        <f>IF(AQ52="1",BH52,0)</f>
        <v>0</v>
      </c>
      <c r="AC52" s="37">
        <f>IF(AQ52="1",BI52,0)</f>
        <v>0</v>
      </c>
      <c r="AD52" s="37">
        <f>IF(AQ52="7",BH52,0)</f>
        <v>0</v>
      </c>
      <c r="AE52" s="37">
        <f>IF(AQ52="7",BI52,0)</f>
        <v>0</v>
      </c>
      <c r="AF52" s="37">
        <f>IF(AQ52="2",BH52,0)</f>
        <v>0</v>
      </c>
      <c r="AG52" s="37">
        <f>IF(AQ52="2",BI52,0)</f>
        <v>0</v>
      </c>
      <c r="AH52" s="37">
        <f>IF(AQ52="0",BJ52,0)</f>
        <v>0</v>
      </c>
      <c r="AI52" s="36" t="s">
        <v>61</v>
      </c>
      <c r="AJ52" s="27">
        <f>IF(AN52=0,N52,0)</f>
        <v>0</v>
      </c>
      <c r="AK52" s="27">
        <f>IF(AN52=15,N52,0)</f>
        <v>0</v>
      </c>
      <c r="AL52" s="27">
        <f>IF(AN52=21,N52,0)</f>
        <v>0</v>
      </c>
      <c r="AN52" s="37">
        <v>21</v>
      </c>
      <c r="AO52" s="37">
        <f>M52*0.639503927041412</f>
        <v>0</v>
      </c>
      <c r="AP52" s="37">
        <f>M52*(1-0.639503927041412)</f>
        <v>0</v>
      </c>
      <c r="AQ52" s="38" t="s">
        <v>6</v>
      </c>
      <c r="AV52" s="37">
        <f>AW52+AX52</f>
        <v>0</v>
      </c>
      <c r="AW52" s="37">
        <f>L52*AO52</f>
        <v>0</v>
      </c>
      <c r="AX52" s="37">
        <f>L52*AP52</f>
        <v>0</v>
      </c>
      <c r="AY52" s="40" t="s">
        <v>239</v>
      </c>
      <c r="AZ52" s="40" t="s">
        <v>247</v>
      </c>
      <c r="BA52" s="36" t="s">
        <v>253</v>
      </c>
      <c r="BC52" s="37">
        <f>AW52+AX52</f>
        <v>0</v>
      </c>
      <c r="BD52" s="37">
        <f>M52/(100-BE52)*100</f>
        <v>0</v>
      </c>
      <c r="BE52" s="37">
        <v>0</v>
      </c>
      <c r="BF52" s="37">
        <f>52</f>
        <v>52</v>
      </c>
      <c r="BH52" s="27">
        <f>L52*AO52</f>
        <v>0</v>
      </c>
      <c r="BI52" s="27">
        <f>L52*AP52</f>
        <v>0</v>
      </c>
      <c r="BJ52" s="27">
        <f>L52*M52</f>
        <v>0</v>
      </c>
      <c r="BK52" s="27" t="s">
        <v>259</v>
      </c>
      <c r="BL52" s="37">
        <v>27</v>
      </c>
    </row>
    <row r="53" spans="1:15" ht="12.75">
      <c r="A53" s="6"/>
      <c r="D53" s="78" t="s">
        <v>313</v>
      </c>
      <c r="E53" s="79"/>
      <c r="F53" s="79"/>
      <c r="J53" s="22" t="s">
        <v>212</v>
      </c>
      <c r="L53" s="81">
        <v>0</v>
      </c>
      <c r="N53" s="34"/>
      <c r="O53" s="6"/>
    </row>
    <row r="54" spans="1:15" ht="12.75">
      <c r="A54" s="6"/>
      <c r="D54" s="20"/>
      <c r="J54" s="22"/>
      <c r="L54" s="81">
        <v>0</v>
      </c>
      <c r="N54" s="34"/>
      <c r="O54" s="6"/>
    </row>
    <row r="55" spans="1:64" ht="12.75">
      <c r="A55" s="5" t="s">
        <v>26</v>
      </c>
      <c r="B55" s="16" t="s">
        <v>61</v>
      </c>
      <c r="C55" s="16" t="s">
        <v>83</v>
      </c>
      <c r="D55" s="86" t="s">
        <v>160</v>
      </c>
      <c r="E55" s="87"/>
      <c r="F55" s="87"/>
      <c r="G55" s="87"/>
      <c r="H55" s="87"/>
      <c r="I55" s="87"/>
      <c r="J55" s="87"/>
      <c r="K55" s="16" t="s">
        <v>215</v>
      </c>
      <c r="L55" s="80">
        <v>0</v>
      </c>
      <c r="M55" s="27">
        <v>0</v>
      </c>
      <c r="N55" s="44">
        <f>L55*M55</f>
        <v>0</v>
      </c>
      <c r="O55" s="6"/>
      <c r="Z55" s="37">
        <f>IF(AQ55="5",BJ55,0)</f>
        <v>0</v>
      </c>
      <c r="AB55" s="37">
        <f>IF(AQ55="1",BH55,0)</f>
        <v>0</v>
      </c>
      <c r="AC55" s="37">
        <f>IF(AQ55="1",BI55,0)</f>
        <v>0</v>
      </c>
      <c r="AD55" s="37">
        <f>IF(AQ55="7",BH55,0)</f>
        <v>0</v>
      </c>
      <c r="AE55" s="37">
        <f>IF(AQ55="7",BI55,0)</f>
        <v>0</v>
      </c>
      <c r="AF55" s="37">
        <f>IF(AQ55="2",BH55,0)</f>
        <v>0</v>
      </c>
      <c r="AG55" s="37">
        <f>IF(AQ55="2",BI55,0)</f>
        <v>0</v>
      </c>
      <c r="AH55" s="37">
        <f>IF(AQ55="0",BJ55,0)</f>
        <v>0</v>
      </c>
      <c r="AI55" s="36" t="s">
        <v>61</v>
      </c>
      <c r="AJ55" s="27">
        <f>IF(AN55=0,N55,0)</f>
        <v>0</v>
      </c>
      <c r="AK55" s="27">
        <f>IF(AN55=15,N55,0)</f>
        <v>0</v>
      </c>
      <c r="AL55" s="27">
        <f>IF(AN55=21,N55,0)</f>
        <v>0</v>
      </c>
      <c r="AN55" s="37">
        <v>21</v>
      </c>
      <c r="AO55" s="37">
        <f>M55*0.898837455830389</f>
        <v>0</v>
      </c>
      <c r="AP55" s="37">
        <f>M55*(1-0.898837455830389)</f>
        <v>0</v>
      </c>
      <c r="AQ55" s="38" t="s">
        <v>6</v>
      </c>
      <c r="AV55" s="37">
        <f>AW55+AX55</f>
        <v>0</v>
      </c>
      <c r="AW55" s="37">
        <f>L55*AO55</f>
        <v>0</v>
      </c>
      <c r="AX55" s="37">
        <f>L55*AP55</f>
        <v>0</v>
      </c>
      <c r="AY55" s="40" t="s">
        <v>239</v>
      </c>
      <c r="AZ55" s="40" t="s">
        <v>247</v>
      </c>
      <c r="BA55" s="36" t="s">
        <v>253</v>
      </c>
      <c r="BC55" s="37">
        <f>AW55+AX55</f>
        <v>0</v>
      </c>
      <c r="BD55" s="37">
        <f>M55/(100-BE55)*100</f>
        <v>0</v>
      </c>
      <c r="BE55" s="37">
        <v>0</v>
      </c>
      <c r="BF55" s="37">
        <f>55</f>
        <v>55</v>
      </c>
      <c r="BH55" s="27">
        <f>L55*AO55</f>
        <v>0</v>
      </c>
      <c r="BI55" s="27">
        <f>L55*AP55</f>
        <v>0</v>
      </c>
      <c r="BJ55" s="27">
        <f>L55*M55</f>
        <v>0</v>
      </c>
      <c r="BK55" s="27" t="s">
        <v>259</v>
      </c>
      <c r="BL55" s="37">
        <v>27</v>
      </c>
    </row>
    <row r="56" spans="1:15" ht="12.75">
      <c r="A56" s="6"/>
      <c r="D56" s="78" t="s">
        <v>313</v>
      </c>
      <c r="E56" s="79"/>
      <c r="F56" s="79"/>
      <c r="J56" s="22"/>
      <c r="L56" s="81">
        <v>0</v>
      </c>
      <c r="N56" s="34"/>
      <c r="O56" s="6"/>
    </row>
    <row r="57" spans="1:15" ht="12.75">
      <c r="A57" s="6"/>
      <c r="D57" s="20"/>
      <c r="J57" s="22"/>
      <c r="L57" s="81">
        <v>0</v>
      </c>
      <c r="N57" s="34"/>
      <c r="O57" s="6"/>
    </row>
    <row r="58" spans="1:64" ht="12.75">
      <c r="A58" s="5" t="s">
        <v>27</v>
      </c>
      <c r="B58" s="16" t="s">
        <v>61</v>
      </c>
      <c r="C58" s="16" t="s">
        <v>84</v>
      </c>
      <c r="D58" s="86" t="s">
        <v>161</v>
      </c>
      <c r="E58" s="87"/>
      <c r="F58" s="87"/>
      <c r="G58" s="87"/>
      <c r="H58" s="87"/>
      <c r="I58" s="87"/>
      <c r="J58" s="87"/>
      <c r="K58" s="16" t="s">
        <v>214</v>
      </c>
      <c r="L58" s="80">
        <v>0</v>
      </c>
      <c r="M58" s="27">
        <v>0</v>
      </c>
      <c r="N58" s="44">
        <f>L58*M58</f>
        <v>0</v>
      </c>
      <c r="O58" s="6"/>
      <c r="Z58" s="37">
        <f>IF(AQ58="5",BJ58,0)</f>
        <v>0</v>
      </c>
      <c r="AB58" s="37">
        <f>IF(AQ58="1",BH58,0)</f>
        <v>0</v>
      </c>
      <c r="AC58" s="37">
        <f>IF(AQ58="1",BI58,0)</f>
        <v>0</v>
      </c>
      <c r="AD58" s="37">
        <f>IF(AQ58="7",BH58,0)</f>
        <v>0</v>
      </c>
      <c r="AE58" s="37">
        <f>IF(AQ58="7",BI58,0)</f>
        <v>0</v>
      </c>
      <c r="AF58" s="37">
        <f>IF(AQ58="2",BH58,0)</f>
        <v>0</v>
      </c>
      <c r="AG58" s="37">
        <f>IF(AQ58="2",BI58,0)</f>
        <v>0</v>
      </c>
      <c r="AH58" s="37">
        <f>IF(AQ58="0",BJ58,0)</f>
        <v>0</v>
      </c>
      <c r="AI58" s="36" t="s">
        <v>61</v>
      </c>
      <c r="AJ58" s="27">
        <f>IF(AN58=0,N58,0)</f>
        <v>0</v>
      </c>
      <c r="AK58" s="27">
        <f>IF(AN58=15,N58,0)</f>
        <v>0</v>
      </c>
      <c r="AL58" s="27">
        <f>IF(AN58=21,N58,0)</f>
        <v>0</v>
      </c>
      <c r="AN58" s="37">
        <v>21</v>
      </c>
      <c r="AO58" s="37">
        <f>M58*0.268880491158135</f>
        <v>0</v>
      </c>
      <c r="AP58" s="37">
        <f>M58*(1-0.268880491158135)</f>
        <v>0</v>
      </c>
      <c r="AQ58" s="38" t="s">
        <v>6</v>
      </c>
      <c r="AV58" s="37">
        <f>AW58+AX58</f>
        <v>0</v>
      </c>
      <c r="AW58" s="37">
        <f>L58*AO58</f>
        <v>0</v>
      </c>
      <c r="AX58" s="37">
        <f>L58*AP58</f>
        <v>0</v>
      </c>
      <c r="AY58" s="40" t="s">
        <v>239</v>
      </c>
      <c r="AZ58" s="40" t="s">
        <v>247</v>
      </c>
      <c r="BA58" s="36" t="s">
        <v>253</v>
      </c>
      <c r="BC58" s="37">
        <f>AW58+AX58</f>
        <v>0</v>
      </c>
      <c r="BD58" s="37">
        <f>M58/(100-BE58)*100</f>
        <v>0</v>
      </c>
      <c r="BE58" s="37">
        <v>0</v>
      </c>
      <c r="BF58" s="37">
        <f>58</f>
        <v>58</v>
      </c>
      <c r="BH58" s="27">
        <f>L58*AO58</f>
        <v>0</v>
      </c>
      <c r="BI58" s="27">
        <f>L58*AP58</f>
        <v>0</v>
      </c>
      <c r="BJ58" s="27">
        <f>L58*M58</f>
        <v>0</v>
      </c>
      <c r="BK58" s="27" t="s">
        <v>259</v>
      </c>
      <c r="BL58" s="37">
        <v>27</v>
      </c>
    </row>
    <row r="59" spans="1:15" ht="12.75">
      <c r="A59" s="6"/>
      <c r="D59" s="78" t="s">
        <v>313</v>
      </c>
      <c r="E59" s="79"/>
      <c r="F59" s="79"/>
      <c r="J59" s="22"/>
      <c r="L59" s="81">
        <v>0</v>
      </c>
      <c r="N59" s="34"/>
      <c r="O59" s="6"/>
    </row>
    <row r="60" spans="1:15" ht="12.75">
      <c r="A60" s="6"/>
      <c r="D60" s="20"/>
      <c r="J60" s="22"/>
      <c r="L60" s="81">
        <v>0</v>
      </c>
      <c r="N60" s="34"/>
      <c r="O60" s="6"/>
    </row>
    <row r="61" spans="1:64" ht="12.75">
      <c r="A61" s="5" t="s">
        <v>28</v>
      </c>
      <c r="B61" s="16" t="s">
        <v>61</v>
      </c>
      <c r="C61" s="16" t="s">
        <v>85</v>
      </c>
      <c r="D61" s="86" t="s">
        <v>162</v>
      </c>
      <c r="E61" s="87"/>
      <c r="F61" s="87"/>
      <c r="G61" s="87"/>
      <c r="H61" s="87"/>
      <c r="I61" s="87"/>
      <c r="J61" s="87"/>
      <c r="K61" s="16" t="s">
        <v>214</v>
      </c>
      <c r="L61" s="80">
        <v>0</v>
      </c>
      <c r="M61" s="27">
        <v>0</v>
      </c>
      <c r="N61" s="44">
        <f>L61*M61</f>
        <v>0</v>
      </c>
      <c r="O61" s="6"/>
      <c r="Z61" s="37">
        <f>IF(AQ61="5",BJ61,0)</f>
        <v>0</v>
      </c>
      <c r="AB61" s="37">
        <f>IF(AQ61="1",BH61,0)</f>
        <v>0</v>
      </c>
      <c r="AC61" s="37">
        <f>IF(AQ61="1",BI61,0)</f>
        <v>0</v>
      </c>
      <c r="AD61" s="37">
        <f>IF(AQ61="7",BH61,0)</f>
        <v>0</v>
      </c>
      <c r="AE61" s="37">
        <f>IF(AQ61="7",BI61,0)</f>
        <v>0</v>
      </c>
      <c r="AF61" s="37">
        <f>IF(AQ61="2",BH61,0)</f>
        <v>0</v>
      </c>
      <c r="AG61" s="37">
        <f>IF(AQ61="2",BI61,0)</f>
        <v>0</v>
      </c>
      <c r="AH61" s="37">
        <f>IF(AQ61="0",BJ61,0)</f>
        <v>0</v>
      </c>
      <c r="AI61" s="36" t="s">
        <v>61</v>
      </c>
      <c r="AJ61" s="27">
        <f>IF(AN61=0,N61,0)</f>
        <v>0</v>
      </c>
      <c r="AK61" s="27">
        <f>IF(AN61=15,N61,0)</f>
        <v>0</v>
      </c>
      <c r="AL61" s="27">
        <f>IF(AN61=21,N61,0)</f>
        <v>0</v>
      </c>
      <c r="AN61" s="37">
        <v>21</v>
      </c>
      <c r="AO61" s="37">
        <f>M61*0</f>
        <v>0</v>
      </c>
      <c r="AP61" s="37">
        <f>M61*(1-0)</f>
        <v>0</v>
      </c>
      <c r="AQ61" s="38" t="s">
        <v>6</v>
      </c>
      <c r="AV61" s="37">
        <f>AW61+AX61</f>
        <v>0</v>
      </c>
      <c r="AW61" s="37">
        <f>L61*AO61</f>
        <v>0</v>
      </c>
      <c r="AX61" s="37">
        <f>L61*AP61</f>
        <v>0</v>
      </c>
      <c r="AY61" s="40" t="s">
        <v>239</v>
      </c>
      <c r="AZ61" s="40" t="s">
        <v>247</v>
      </c>
      <c r="BA61" s="36" t="s">
        <v>253</v>
      </c>
      <c r="BC61" s="37">
        <f>AW61+AX61</f>
        <v>0</v>
      </c>
      <c r="BD61" s="37">
        <f>M61/(100-BE61)*100</f>
        <v>0</v>
      </c>
      <c r="BE61" s="37">
        <v>0</v>
      </c>
      <c r="BF61" s="37">
        <f>61</f>
        <v>61</v>
      </c>
      <c r="BH61" s="27">
        <f>L61*AO61</f>
        <v>0</v>
      </c>
      <c r="BI61" s="27">
        <f>L61*AP61</f>
        <v>0</v>
      </c>
      <c r="BJ61" s="27">
        <f>L61*M61</f>
        <v>0</v>
      </c>
      <c r="BK61" s="27" t="s">
        <v>259</v>
      </c>
      <c r="BL61" s="37">
        <v>27</v>
      </c>
    </row>
    <row r="62" spans="1:64" ht="12.75">
      <c r="A62" s="5" t="s">
        <v>29</v>
      </c>
      <c r="B62" s="16" t="s">
        <v>61</v>
      </c>
      <c r="C62" s="16" t="s">
        <v>86</v>
      </c>
      <c r="D62" s="86" t="s">
        <v>163</v>
      </c>
      <c r="E62" s="87"/>
      <c r="F62" s="87"/>
      <c r="G62" s="87"/>
      <c r="H62" s="87"/>
      <c r="I62" s="87"/>
      <c r="J62" s="87"/>
      <c r="K62" s="16" t="s">
        <v>215</v>
      </c>
      <c r="L62" s="80">
        <v>0</v>
      </c>
      <c r="M62" s="27">
        <v>0</v>
      </c>
      <c r="N62" s="44">
        <f>L62*M62</f>
        <v>0</v>
      </c>
      <c r="O62" s="6"/>
      <c r="Z62" s="37">
        <f>IF(AQ62="5",BJ62,0)</f>
        <v>0</v>
      </c>
      <c r="AB62" s="37">
        <f>IF(AQ62="1",BH62,0)</f>
        <v>0</v>
      </c>
      <c r="AC62" s="37">
        <f>IF(AQ62="1",BI62,0)</f>
        <v>0</v>
      </c>
      <c r="AD62" s="37">
        <f>IF(AQ62="7",BH62,0)</f>
        <v>0</v>
      </c>
      <c r="AE62" s="37">
        <f>IF(AQ62="7",BI62,0)</f>
        <v>0</v>
      </c>
      <c r="AF62" s="37">
        <f>IF(AQ62="2",BH62,0)</f>
        <v>0</v>
      </c>
      <c r="AG62" s="37">
        <f>IF(AQ62="2",BI62,0)</f>
        <v>0</v>
      </c>
      <c r="AH62" s="37">
        <f>IF(AQ62="0",BJ62,0)</f>
        <v>0</v>
      </c>
      <c r="AI62" s="36" t="s">
        <v>61</v>
      </c>
      <c r="AJ62" s="27">
        <f>IF(AN62=0,N62,0)</f>
        <v>0</v>
      </c>
      <c r="AK62" s="27">
        <f>IF(AN62=15,N62,0)</f>
        <v>0</v>
      </c>
      <c r="AL62" s="27">
        <f>IF(AN62=21,N62,0)</f>
        <v>0</v>
      </c>
      <c r="AN62" s="37">
        <v>21</v>
      </c>
      <c r="AO62" s="37">
        <f>M62*0.898837455830389</f>
        <v>0</v>
      </c>
      <c r="AP62" s="37">
        <f>M62*(1-0.898837455830389)</f>
        <v>0</v>
      </c>
      <c r="AQ62" s="38" t="s">
        <v>6</v>
      </c>
      <c r="AV62" s="37">
        <f>AW62+AX62</f>
        <v>0</v>
      </c>
      <c r="AW62" s="37">
        <f>L62*AO62</f>
        <v>0</v>
      </c>
      <c r="AX62" s="37">
        <f>L62*AP62</f>
        <v>0</v>
      </c>
      <c r="AY62" s="40" t="s">
        <v>239</v>
      </c>
      <c r="AZ62" s="40" t="s">
        <v>247</v>
      </c>
      <c r="BA62" s="36" t="s">
        <v>253</v>
      </c>
      <c r="BC62" s="37">
        <f>AW62+AX62</f>
        <v>0</v>
      </c>
      <c r="BD62" s="37">
        <f>M62/(100-BE62)*100</f>
        <v>0</v>
      </c>
      <c r="BE62" s="37">
        <v>0</v>
      </c>
      <c r="BF62" s="37">
        <f>62</f>
        <v>62</v>
      </c>
      <c r="BH62" s="27">
        <f>L62*AO62</f>
        <v>0</v>
      </c>
      <c r="BI62" s="27">
        <f>L62*AP62</f>
        <v>0</v>
      </c>
      <c r="BJ62" s="27">
        <f>L62*M62</f>
        <v>0</v>
      </c>
      <c r="BK62" s="27" t="s">
        <v>259</v>
      </c>
      <c r="BL62" s="37">
        <v>27</v>
      </c>
    </row>
    <row r="63" spans="1:15" ht="12.75">
      <c r="A63" s="6"/>
      <c r="D63" s="78" t="s">
        <v>313</v>
      </c>
      <c r="E63" s="79"/>
      <c r="F63" s="79"/>
      <c r="J63" s="22"/>
      <c r="L63" s="81">
        <v>0</v>
      </c>
      <c r="N63" s="34"/>
      <c r="O63" s="6"/>
    </row>
    <row r="64" spans="1:64" ht="12.75">
      <c r="A64" s="5" t="s">
        <v>30</v>
      </c>
      <c r="B64" s="16" t="s">
        <v>61</v>
      </c>
      <c r="C64" s="16" t="s">
        <v>87</v>
      </c>
      <c r="D64" s="86" t="s">
        <v>164</v>
      </c>
      <c r="E64" s="87"/>
      <c r="F64" s="87"/>
      <c r="G64" s="87"/>
      <c r="H64" s="87"/>
      <c r="I64" s="87"/>
      <c r="J64" s="87"/>
      <c r="K64" s="16" t="s">
        <v>214</v>
      </c>
      <c r="L64" s="80">
        <v>0</v>
      </c>
      <c r="M64" s="27">
        <v>0</v>
      </c>
      <c r="N64" s="44">
        <f>L64*M64</f>
        <v>0</v>
      </c>
      <c r="O64" s="6"/>
      <c r="Z64" s="37">
        <f>IF(AQ64="5",BJ64,0)</f>
        <v>0</v>
      </c>
      <c r="AB64" s="37">
        <f>IF(AQ64="1",BH64,0)</f>
        <v>0</v>
      </c>
      <c r="AC64" s="37">
        <f>IF(AQ64="1",BI64,0)</f>
        <v>0</v>
      </c>
      <c r="AD64" s="37">
        <f>IF(AQ64="7",BH64,0)</f>
        <v>0</v>
      </c>
      <c r="AE64" s="37">
        <f>IF(AQ64="7",BI64,0)</f>
        <v>0</v>
      </c>
      <c r="AF64" s="37">
        <f>IF(AQ64="2",BH64,0)</f>
        <v>0</v>
      </c>
      <c r="AG64" s="37">
        <f>IF(AQ64="2",BI64,0)</f>
        <v>0</v>
      </c>
      <c r="AH64" s="37">
        <f>IF(AQ64="0",BJ64,0)</f>
        <v>0</v>
      </c>
      <c r="AI64" s="36" t="s">
        <v>61</v>
      </c>
      <c r="AJ64" s="27">
        <f>IF(AN64=0,N64,0)</f>
        <v>0</v>
      </c>
      <c r="AK64" s="27">
        <f>IF(AN64=15,N64,0)</f>
        <v>0</v>
      </c>
      <c r="AL64" s="27">
        <f>IF(AN64=21,N64,0)</f>
        <v>0</v>
      </c>
      <c r="AN64" s="37">
        <v>21</v>
      </c>
      <c r="AO64" s="37">
        <f>M64*0.283288814691152</f>
        <v>0</v>
      </c>
      <c r="AP64" s="37">
        <f>M64*(1-0.283288814691152)</f>
        <v>0</v>
      </c>
      <c r="AQ64" s="38" t="s">
        <v>6</v>
      </c>
      <c r="AV64" s="37">
        <f>AW64+AX64</f>
        <v>0</v>
      </c>
      <c r="AW64" s="37">
        <f>L64*AO64</f>
        <v>0</v>
      </c>
      <c r="AX64" s="37">
        <f>L64*AP64</f>
        <v>0</v>
      </c>
      <c r="AY64" s="40" t="s">
        <v>239</v>
      </c>
      <c r="AZ64" s="40" t="s">
        <v>247</v>
      </c>
      <c r="BA64" s="36" t="s">
        <v>253</v>
      </c>
      <c r="BC64" s="37">
        <f>AW64+AX64</f>
        <v>0</v>
      </c>
      <c r="BD64" s="37">
        <f>M64/(100-BE64)*100</f>
        <v>0</v>
      </c>
      <c r="BE64" s="37">
        <v>0</v>
      </c>
      <c r="BF64" s="37">
        <f>64</f>
        <v>64</v>
      </c>
      <c r="BH64" s="27">
        <f>L64*AO64</f>
        <v>0</v>
      </c>
      <c r="BI64" s="27">
        <f>L64*AP64</f>
        <v>0</v>
      </c>
      <c r="BJ64" s="27">
        <f>L64*M64</f>
        <v>0</v>
      </c>
      <c r="BK64" s="27" t="s">
        <v>259</v>
      </c>
      <c r="BL64" s="37">
        <v>27</v>
      </c>
    </row>
    <row r="65" spans="1:15" ht="12.75">
      <c r="A65" s="6"/>
      <c r="D65" s="78" t="s">
        <v>313</v>
      </c>
      <c r="E65" s="79"/>
      <c r="F65" s="79"/>
      <c r="J65" s="22"/>
      <c r="L65" s="81">
        <v>0</v>
      </c>
      <c r="N65" s="34"/>
      <c r="O65" s="6"/>
    </row>
    <row r="66" spans="1:64" ht="12.75">
      <c r="A66" s="5" t="s">
        <v>31</v>
      </c>
      <c r="B66" s="16" t="s">
        <v>61</v>
      </c>
      <c r="C66" s="16" t="s">
        <v>88</v>
      </c>
      <c r="D66" s="86" t="s">
        <v>165</v>
      </c>
      <c r="E66" s="87"/>
      <c r="F66" s="87"/>
      <c r="G66" s="87"/>
      <c r="H66" s="87"/>
      <c r="I66" s="87"/>
      <c r="J66" s="87"/>
      <c r="K66" s="16" t="s">
        <v>214</v>
      </c>
      <c r="L66" s="80">
        <v>0</v>
      </c>
      <c r="M66" s="27">
        <v>0</v>
      </c>
      <c r="N66" s="44">
        <f>L66*M66</f>
        <v>0</v>
      </c>
      <c r="O66" s="6"/>
      <c r="Z66" s="37">
        <f>IF(AQ66="5",BJ66,0)</f>
        <v>0</v>
      </c>
      <c r="AB66" s="37">
        <f>IF(AQ66="1",BH66,0)</f>
        <v>0</v>
      </c>
      <c r="AC66" s="37">
        <f>IF(AQ66="1",BI66,0)</f>
        <v>0</v>
      </c>
      <c r="AD66" s="37">
        <f>IF(AQ66="7",BH66,0)</f>
        <v>0</v>
      </c>
      <c r="AE66" s="37">
        <f>IF(AQ66="7",BI66,0)</f>
        <v>0</v>
      </c>
      <c r="AF66" s="37">
        <f>IF(AQ66="2",BH66,0)</f>
        <v>0</v>
      </c>
      <c r="AG66" s="37">
        <f>IF(AQ66="2",BI66,0)</f>
        <v>0</v>
      </c>
      <c r="AH66" s="37">
        <f>IF(AQ66="0",BJ66,0)</f>
        <v>0</v>
      </c>
      <c r="AI66" s="36" t="s">
        <v>61</v>
      </c>
      <c r="AJ66" s="27">
        <f>IF(AN66=0,N66,0)</f>
        <v>0</v>
      </c>
      <c r="AK66" s="27">
        <f>IF(AN66=15,N66,0)</f>
        <v>0</v>
      </c>
      <c r="AL66" s="27">
        <f>IF(AN66=21,N66,0)</f>
        <v>0</v>
      </c>
      <c r="AN66" s="37">
        <v>21</v>
      </c>
      <c r="AO66" s="37">
        <f>M66*0</f>
        <v>0</v>
      </c>
      <c r="AP66" s="37">
        <f>M66*(1-0)</f>
        <v>0</v>
      </c>
      <c r="AQ66" s="38" t="s">
        <v>6</v>
      </c>
      <c r="AV66" s="37">
        <f>AW66+AX66</f>
        <v>0</v>
      </c>
      <c r="AW66" s="37">
        <f>L66*AO66</f>
        <v>0</v>
      </c>
      <c r="AX66" s="37">
        <f>L66*AP66</f>
        <v>0</v>
      </c>
      <c r="AY66" s="40" t="s">
        <v>239</v>
      </c>
      <c r="AZ66" s="40" t="s">
        <v>247</v>
      </c>
      <c r="BA66" s="36" t="s">
        <v>253</v>
      </c>
      <c r="BC66" s="37">
        <f>AW66+AX66</f>
        <v>0</v>
      </c>
      <c r="BD66" s="37">
        <f>M66/(100-BE66)*100</f>
        <v>0</v>
      </c>
      <c r="BE66" s="37">
        <v>0</v>
      </c>
      <c r="BF66" s="37">
        <f>66</f>
        <v>66</v>
      </c>
      <c r="BH66" s="27">
        <f>L66*AO66</f>
        <v>0</v>
      </c>
      <c r="BI66" s="27">
        <f>L66*AP66</f>
        <v>0</v>
      </c>
      <c r="BJ66" s="27">
        <f>L66*M66</f>
        <v>0</v>
      </c>
      <c r="BK66" s="27" t="s">
        <v>259</v>
      </c>
      <c r="BL66" s="37">
        <v>27</v>
      </c>
    </row>
    <row r="67" spans="1:47" ht="12.75">
      <c r="A67" s="4"/>
      <c r="B67" s="15" t="s">
        <v>61</v>
      </c>
      <c r="C67" s="15" t="s">
        <v>89</v>
      </c>
      <c r="D67" s="92" t="s">
        <v>166</v>
      </c>
      <c r="E67" s="93"/>
      <c r="F67" s="93"/>
      <c r="G67" s="93"/>
      <c r="H67" s="93"/>
      <c r="I67" s="93"/>
      <c r="J67" s="93"/>
      <c r="K67" s="24" t="s">
        <v>5</v>
      </c>
      <c r="L67" s="24" t="s">
        <v>5</v>
      </c>
      <c r="M67" s="24" t="s">
        <v>5</v>
      </c>
      <c r="N67" s="43">
        <f>SUM(N68:N76)</f>
        <v>0</v>
      </c>
      <c r="O67" s="6"/>
      <c r="AI67" s="36" t="s">
        <v>61</v>
      </c>
      <c r="AS67" s="49">
        <f>SUM(AJ68:AJ76)</f>
        <v>0</v>
      </c>
      <c r="AT67" s="49">
        <f>SUM(AK68:AK76)</f>
        <v>0</v>
      </c>
      <c r="AU67" s="49">
        <f>SUM(AL68:AL76)</f>
        <v>0</v>
      </c>
    </row>
    <row r="68" spans="1:64" ht="12.75">
      <c r="A68" s="5" t="s">
        <v>32</v>
      </c>
      <c r="B68" s="16" t="s">
        <v>61</v>
      </c>
      <c r="C68" s="16" t="s">
        <v>90</v>
      </c>
      <c r="D68" s="86" t="s">
        <v>167</v>
      </c>
      <c r="E68" s="87"/>
      <c r="F68" s="87"/>
      <c r="G68" s="87"/>
      <c r="H68" s="87"/>
      <c r="I68" s="87"/>
      <c r="J68" s="87"/>
      <c r="K68" s="16" t="s">
        <v>214</v>
      </c>
      <c r="L68" s="74">
        <v>7.5</v>
      </c>
      <c r="M68" s="27">
        <v>0</v>
      </c>
      <c r="N68" s="44">
        <f>L68*M68</f>
        <v>0</v>
      </c>
      <c r="O68" s="6"/>
      <c r="Z68" s="37">
        <f>IF(AQ68="5",BJ68,0)</f>
        <v>0</v>
      </c>
      <c r="AB68" s="37">
        <f>IF(AQ68="1",BH68,0)</f>
        <v>0</v>
      </c>
      <c r="AC68" s="37">
        <f>IF(AQ68="1",BI68,0)</f>
        <v>0</v>
      </c>
      <c r="AD68" s="37">
        <f>IF(AQ68="7",BH68,0)</f>
        <v>0</v>
      </c>
      <c r="AE68" s="37">
        <f>IF(AQ68="7",BI68,0)</f>
        <v>0</v>
      </c>
      <c r="AF68" s="37">
        <f>IF(AQ68="2",BH68,0)</f>
        <v>0</v>
      </c>
      <c r="AG68" s="37">
        <f>IF(AQ68="2",BI68,0)</f>
        <v>0</v>
      </c>
      <c r="AH68" s="37">
        <f>IF(AQ68="0",BJ68,0)</f>
        <v>0</v>
      </c>
      <c r="AI68" s="36" t="s">
        <v>61</v>
      </c>
      <c r="AJ68" s="27">
        <f>IF(AN68=0,N68,0)</f>
        <v>0</v>
      </c>
      <c r="AK68" s="27">
        <f>IF(AN68=15,N68,0)</f>
        <v>0</v>
      </c>
      <c r="AL68" s="27">
        <f>IF(AN68=21,N68,0)</f>
        <v>0</v>
      </c>
      <c r="AN68" s="37">
        <v>21</v>
      </c>
      <c r="AO68" s="37">
        <f>M68*0.663081156416396</f>
        <v>0</v>
      </c>
      <c r="AP68" s="37">
        <f>M68*(1-0.663081156416396)</f>
        <v>0</v>
      </c>
      <c r="AQ68" s="38" t="s">
        <v>6</v>
      </c>
      <c r="AV68" s="37">
        <f>AW68+AX68</f>
        <v>0</v>
      </c>
      <c r="AW68" s="37">
        <f>L68*AO68</f>
        <v>0</v>
      </c>
      <c r="AX68" s="37">
        <f>L68*AP68</f>
        <v>0</v>
      </c>
      <c r="AY68" s="40" t="s">
        <v>240</v>
      </c>
      <c r="AZ68" s="40" t="s">
        <v>248</v>
      </c>
      <c r="BA68" s="36" t="s">
        <v>253</v>
      </c>
      <c r="BC68" s="37">
        <f>AW68+AX68</f>
        <v>0</v>
      </c>
      <c r="BD68" s="37">
        <f>M68/(100-BE68)*100</f>
        <v>0</v>
      </c>
      <c r="BE68" s="37">
        <v>0</v>
      </c>
      <c r="BF68" s="37">
        <f>68</f>
        <v>68</v>
      </c>
      <c r="BH68" s="27">
        <f>L68*AO68</f>
        <v>0</v>
      </c>
      <c r="BI68" s="27">
        <f>L68*AP68</f>
        <v>0</v>
      </c>
      <c r="BJ68" s="27">
        <f>L68*M68</f>
        <v>0</v>
      </c>
      <c r="BK68" s="27" t="s">
        <v>259</v>
      </c>
      <c r="BL68" s="37">
        <v>59</v>
      </c>
    </row>
    <row r="69" spans="1:15" ht="12.75">
      <c r="A69" s="6"/>
      <c r="D69" s="20" t="s">
        <v>128</v>
      </c>
      <c r="J69" s="22" t="s">
        <v>206</v>
      </c>
      <c r="L69" s="75">
        <v>7.5</v>
      </c>
      <c r="N69" s="34"/>
      <c r="O69" s="6"/>
    </row>
    <row r="70" spans="1:64" ht="12.75">
      <c r="A70" s="5" t="s">
        <v>33</v>
      </c>
      <c r="B70" s="16" t="s">
        <v>61</v>
      </c>
      <c r="C70" s="16" t="s">
        <v>91</v>
      </c>
      <c r="D70" s="86" t="s">
        <v>168</v>
      </c>
      <c r="E70" s="87"/>
      <c r="F70" s="87"/>
      <c r="G70" s="87"/>
      <c r="H70" s="87"/>
      <c r="I70" s="87"/>
      <c r="J70" s="87"/>
      <c r="K70" s="16" t="s">
        <v>214</v>
      </c>
      <c r="L70" s="74">
        <v>7.5</v>
      </c>
      <c r="M70" s="27">
        <v>0</v>
      </c>
      <c r="N70" s="44">
        <f>L70*M70</f>
        <v>0</v>
      </c>
      <c r="O70" s="6"/>
      <c r="Z70" s="37">
        <f>IF(AQ70="5",BJ70,0)</f>
        <v>0</v>
      </c>
      <c r="AB70" s="37">
        <f>IF(AQ70="1",BH70,0)</f>
        <v>0</v>
      </c>
      <c r="AC70" s="37">
        <f>IF(AQ70="1",BI70,0)</f>
        <v>0</v>
      </c>
      <c r="AD70" s="37">
        <f>IF(AQ70="7",BH70,0)</f>
        <v>0</v>
      </c>
      <c r="AE70" s="37">
        <f>IF(AQ70="7",BI70,0)</f>
        <v>0</v>
      </c>
      <c r="AF70" s="37">
        <f>IF(AQ70="2",BH70,0)</f>
        <v>0</v>
      </c>
      <c r="AG70" s="37">
        <f>IF(AQ70="2",BI70,0)</f>
        <v>0</v>
      </c>
      <c r="AH70" s="37">
        <f>IF(AQ70="0",BJ70,0)</f>
        <v>0</v>
      </c>
      <c r="AI70" s="36" t="s">
        <v>61</v>
      </c>
      <c r="AJ70" s="27">
        <f>IF(AN70=0,N70,0)</f>
        <v>0</v>
      </c>
      <c r="AK70" s="27">
        <f>IF(AN70=15,N70,0)</f>
        <v>0</v>
      </c>
      <c r="AL70" s="27">
        <f>IF(AN70=21,N70,0)</f>
        <v>0</v>
      </c>
      <c r="AN70" s="37">
        <v>21</v>
      </c>
      <c r="AO70" s="37">
        <f>M70*0.857180502312041</f>
        <v>0</v>
      </c>
      <c r="AP70" s="37">
        <f>M70*(1-0.857180502312041)</f>
        <v>0</v>
      </c>
      <c r="AQ70" s="38" t="s">
        <v>6</v>
      </c>
      <c r="AV70" s="37">
        <f>AW70+AX70</f>
        <v>0</v>
      </c>
      <c r="AW70" s="37">
        <f>L70*AO70</f>
        <v>0</v>
      </c>
      <c r="AX70" s="37">
        <f>L70*AP70</f>
        <v>0</v>
      </c>
      <c r="AY70" s="40" t="s">
        <v>240</v>
      </c>
      <c r="AZ70" s="40" t="s">
        <v>248</v>
      </c>
      <c r="BA70" s="36" t="s">
        <v>253</v>
      </c>
      <c r="BC70" s="37">
        <f>AW70+AX70</f>
        <v>0</v>
      </c>
      <c r="BD70" s="37">
        <f>M70/(100-BE70)*100</f>
        <v>0</v>
      </c>
      <c r="BE70" s="37">
        <v>0</v>
      </c>
      <c r="BF70" s="37">
        <f>70</f>
        <v>70</v>
      </c>
      <c r="BH70" s="27">
        <f>L70*AO70</f>
        <v>0</v>
      </c>
      <c r="BI70" s="27">
        <f>L70*AP70</f>
        <v>0</v>
      </c>
      <c r="BJ70" s="27">
        <f>L70*M70</f>
        <v>0</v>
      </c>
      <c r="BK70" s="27" t="s">
        <v>259</v>
      </c>
      <c r="BL70" s="37">
        <v>59</v>
      </c>
    </row>
    <row r="71" spans="1:15" ht="12.75">
      <c r="A71" s="6"/>
      <c r="D71" s="20" t="s">
        <v>128</v>
      </c>
      <c r="J71" s="22" t="s">
        <v>206</v>
      </c>
      <c r="L71" s="75">
        <v>7.5</v>
      </c>
      <c r="N71" s="34"/>
      <c r="O71" s="6"/>
    </row>
    <row r="72" spans="1:64" ht="12.75">
      <c r="A72" s="5" t="s">
        <v>34</v>
      </c>
      <c r="B72" s="16" t="s">
        <v>61</v>
      </c>
      <c r="C72" s="16" t="s">
        <v>92</v>
      </c>
      <c r="D72" s="86" t="s">
        <v>169</v>
      </c>
      <c r="E72" s="87"/>
      <c r="F72" s="87"/>
      <c r="G72" s="87"/>
      <c r="H72" s="87"/>
      <c r="I72" s="87"/>
      <c r="J72" s="87"/>
      <c r="K72" s="16" t="s">
        <v>214</v>
      </c>
      <c r="L72" s="74">
        <v>70</v>
      </c>
      <c r="M72" s="27">
        <v>0</v>
      </c>
      <c r="N72" s="44">
        <f>L72*M72</f>
        <v>0</v>
      </c>
      <c r="O72" s="6"/>
      <c r="Z72" s="37">
        <f>IF(AQ72="5",BJ72,0)</f>
        <v>0</v>
      </c>
      <c r="AB72" s="37">
        <f>IF(AQ72="1",BH72,0)</f>
        <v>0</v>
      </c>
      <c r="AC72" s="37">
        <f>IF(AQ72="1",BI72,0)</f>
        <v>0</v>
      </c>
      <c r="AD72" s="37">
        <f>IF(AQ72="7",BH72,0)</f>
        <v>0</v>
      </c>
      <c r="AE72" s="37">
        <f>IF(AQ72="7",BI72,0)</f>
        <v>0</v>
      </c>
      <c r="AF72" s="37">
        <f>IF(AQ72="2",BH72,0)</f>
        <v>0</v>
      </c>
      <c r="AG72" s="37">
        <f>IF(AQ72="2",BI72,0)</f>
        <v>0</v>
      </c>
      <c r="AH72" s="37">
        <f>IF(AQ72="0",BJ72,0)</f>
        <v>0</v>
      </c>
      <c r="AI72" s="36" t="s">
        <v>61</v>
      </c>
      <c r="AJ72" s="27">
        <f>IF(AN72=0,N72,0)</f>
        <v>0</v>
      </c>
      <c r="AK72" s="27">
        <f>IF(AN72=15,N72,0)</f>
        <v>0</v>
      </c>
      <c r="AL72" s="27">
        <f>IF(AN72=21,N72,0)</f>
        <v>0</v>
      </c>
      <c r="AN72" s="37">
        <v>21</v>
      </c>
      <c r="AO72" s="37">
        <f>M72*0.840182926829268</f>
        <v>0</v>
      </c>
      <c r="AP72" s="37">
        <f>M72*(1-0.840182926829268)</f>
        <v>0</v>
      </c>
      <c r="AQ72" s="38" t="s">
        <v>6</v>
      </c>
      <c r="AV72" s="37">
        <f>AW72+AX72</f>
        <v>0</v>
      </c>
      <c r="AW72" s="37">
        <f>L72*AO72</f>
        <v>0</v>
      </c>
      <c r="AX72" s="37">
        <f>L72*AP72</f>
        <v>0</v>
      </c>
      <c r="AY72" s="40" t="s">
        <v>240</v>
      </c>
      <c r="AZ72" s="40" t="s">
        <v>248</v>
      </c>
      <c r="BA72" s="36" t="s">
        <v>253</v>
      </c>
      <c r="BC72" s="37">
        <f>AW72+AX72</f>
        <v>0</v>
      </c>
      <c r="BD72" s="37">
        <f>M72/(100-BE72)*100</f>
        <v>0</v>
      </c>
      <c r="BE72" s="37">
        <v>0</v>
      </c>
      <c r="BF72" s="37">
        <f>72</f>
        <v>72</v>
      </c>
      <c r="BH72" s="27">
        <f>L72*AO72</f>
        <v>0</v>
      </c>
      <c r="BI72" s="27">
        <f>L72*AP72</f>
        <v>0</v>
      </c>
      <c r="BJ72" s="27">
        <f>L72*M72</f>
        <v>0</v>
      </c>
      <c r="BK72" s="27" t="s">
        <v>259</v>
      </c>
      <c r="BL72" s="37">
        <v>59</v>
      </c>
    </row>
    <row r="73" spans="1:64" ht="12.75">
      <c r="A73" s="5" t="s">
        <v>35</v>
      </c>
      <c r="B73" s="16" t="s">
        <v>61</v>
      </c>
      <c r="C73" s="16" t="s">
        <v>93</v>
      </c>
      <c r="D73" s="86" t="s">
        <v>170</v>
      </c>
      <c r="E73" s="87"/>
      <c r="F73" s="87"/>
      <c r="G73" s="87"/>
      <c r="H73" s="87"/>
      <c r="I73" s="87"/>
      <c r="J73" s="87"/>
      <c r="K73" s="16" t="s">
        <v>214</v>
      </c>
      <c r="L73" s="74">
        <v>70</v>
      </c>
      <c r="M73" s="27">
        <v>0</v>
      </c>
      <c r="N73" s="44">
        <f>L73*M73</f>
        <v>0</v>
      </c>
      <c r="O73" s="6"/>
      <c r="Z73" s="37">
        <f>IF(AQ73="5",BJ73,0)</f>
        <v>0</v>
      </c>
      <c r="AB73" s="37">
        <f>IF(AQ73="1",BH73,0)</f>
        <v>0</v>
      </c>
      <c r="AC73" s="37">
        <f>IF(AQ73="1",BI73,0)</f>
        <v>0</v>
      </c>
      <c r="AD73" s="37">
        <f>IF(AQ73="7",BH73,0)</f>
        <v>0</v>
      </c>
      <c r="AE73" s="37">
        <f>IF(AQ73="7",BI73,0)</f>
        <v>0</v>
      </c>
      <c r="AF73" s="37">
        <f>IF(AQ73="2",BH73,0)</f>
        <v>0</v>
      </c>
      <c r="AG73" s="37">
        <f>IF(AQ73="2",BI73,0)</f>
        <v>0</v>
      </c>
      <c r="AH73" s="37">
        <f>IF(AQ73="0",BJ73,0)</f>
        <v>0</v>
      </c>
      <c r="AI73" s="36" t="s">
        <v>61</v>
      </c>
      <c r="AJ73" s="27">
        <f>IF(AN73=0,N73,0)</f>
        <v>0</v>
      </c>
      <c r="AK73" s="27">
        <f>IF(AN73=15,N73,0)</f>
        <v>0</v>
      </c>
      <c r="AL73" s="27">
        <f>IF(AN73=21,N73,0)</f>
        <v>0</v>
      </c>
      <c r="AN73" s="37">
        <v>21</v>
      </c>
      <c r="AO73" s="37">
        <f>M73*0.062233676975945</f>
        <v>0</v>
      </c>
      <c r="AP73" s="37">
        <f>M73*(1-0.062233676975945)</f>
        <v>0</v>
      </c>
      <c r="AQ73" s="38" t="s">
        <v>6</v>
      </c>
      <c r="AV73" s="37">
        <f>AW73+AX73</f>
        <v>0</v>
      </c>
      <c r="AW73" s="37">
        <f>L73*AO73</f>
        <v>0</v>
      </c>
      <c r="AX73" s="37">
        <f>L73*AP73</f>
        <v>0</v>
      </c>
      <c r="AY73" s="40" t="s">
        <v>240</v>
      </c>
      <c r="AZ73" s="40" t="s">
        <v>248</v>
      </c>
      <c r="BA73" s="36" t="s">
        <v>253</v>
      </c>
      <c r="BC73" s="37">
        <f>AW73+AX73</f>
        <v>0</v>
      </c>
      <c r="BD73" s="37">
        <f>M73/(100-BE73)*100</f>
        <v>0</v>
      </c>
      <c r="BE73" s="37">
        <v>0</v>
      </c>
      <c r="BF73" s="37">
        <f>73</f>
        <v>73</v>
      </c>
      <c r="BH73" s="27">
        <f>L73*AO73</f>
        <v>0</v>
      </c>
      <c r="BI73" s="27">
        <f>L73*AP73</f>
        <v>0</v>
      </c>
      <c r="BJ73" s="27">
        <f>L73*M73</f>
        <v>0</v>
      </c>
      <c r="BK73" s="27" t="s">
        <v>259</v>
      </c>
      <c r="BL73" s="37">
        <v>59</v>
      </c>
    </row>
    <row r="74" spans="1:64" ht="12.75">
      <c r="A74" s="7" t="s">
        <v>36</v>
      </c>
      <c r="B74" s="17" t="s">
        <v>61</v>
      </c>
      <c r="C74" s="17" t="s">
        <v>94</v>
      </c>
      <c r="D74" s="95" t="s">
        <v>171</v>
      </c>
      <c r="E74" s="96"/>
      <c r="F74" s="96"/>
      <c r="G74" s="96"/>
      <c r="H74" s="96"/>
      <c r="I74" s="96"/>
      <c r="J74" s="96"/>
      <c r="K74" s="17" t="s">
        <v>216</v>
      </c>
      <c r="L74" s="76">
        <v>14.7</v>
      </c>
      <c r="M74" s="28">
        <v>0</v>
      </c>
      <c r="N74" s="45">
        <f>L74*M74</f>
        <v>0</v>
      </c>
      <c r="O74" s="6"/>
      <c r="Z74" s="37">
        <f>IF(AQ74="5",BJ74,0)</f>
        <v>0</v>
      </c>
      <c r="AB74" s="37">
        <f>IF(AQ74="1",BH74,0)</f>
        <v>0</v>
      </c>
      <c r="AC74" s="37">
        <f>IF(AQ74="1",BI74,0)</f>
        <v>0</v>
      </c>
      <c r="AD74" s="37">
        <f>IF(AQ74="7",BH74,0)</f>
        <v>0</v>
      </c>
      <c r="AE74" s="37">
        <f>IF(AQ74="7",BI74,0)</f>
        <v>0</v>
      </c>
      <c r="AF74" s="37">
        <f>IF(AQ74="2",BH74,0)</f>
        <v>0</v>
      </c>
      <c r="AG74" s="37">
        <f>IF(AQ74="2",BI74,0)</f>
        <v>0</v>
      </c>
      <c r="AH74" s="37">
        <f>IF(AQ74="0",BJ74,0)</f>
        <v>0</v>
      </c>
      <c r="AI74" s="36" t="s">
        <v>61</v>
      </c>
      <c r="AJ74" s="28">
        <f>IF(AN74=0,N74,0)</f>
        <v>0</v>
      </c>
      <c r="AK74" s="28">
        <f>IF(AN74=15,N74,0)</f>
        <v>0</v>
      </c>
      <c r="AL74" s="28">
        <f>IF(AN74=21,N74,0)</f>
        <v>0</v>
      </c>
      <c r="AN74" s="37">
        <v>21</v>
      </c>
      <c r="AO74" s="37">
        <f>M74*1</f>
        <v>0</v>
      </c>
      <c r="AP74" s="37">
        <f>M74*(1-1)</f>
        <v>0</v>
      </c>
      <c r="AQ74" s="39" t="s">
        <v>6</v>
      </c>
      <c r="AV74" s="37">
        <f>AW74+AX74</f>
        <v>0</v>
      </c>
      <c r="AW74" s="37">
        <f>L74*AO74</f>
        <v>0</v>
      </c>
      <c r="AX74" s="37">
        <f>L74*AP74</f>
        <v>0</v>
      </c>
      <c r="AY74" s="40" t="s">
        <v>240</v>
      </c>
      <c r="AZ74" s="40" t="s">
        <v>248</v>
      </c>
      <c r="BA74" s="36" t="s">
        <v>253</v>
      </c>
      <c r="BC74" s="37">
        <f>AW74+AX74</f>
        <v>0</v>
      </c>
      <c r="BD74" s="37">
        <f>M74/(100-BE74)*100</f>
        <v>0</v>
      </c>
      <c r="BE74" s="37">
        <v>0</v>
      </c>
      <c r="BF74" s="37">
        <f>74</f>
        <v>74</v>
      </c>
      <c r="BH74" s="28">
        <f>L74*AO74</f>
        <v>0</v>
      </c>
      <c r="BI74" s="28">
        <f>L74*AP74</f>
        <v>0</v>
      </c>
      <c r="BJ74" s="28">
        <f>L74*M74</f>
        <v>0</v>
      </c>
      <c r="BK74" s="28" t="s">
        <v>260</v>
      </c>
      <c r="BL74" s="37">
        <v>59</v>
      </c>
    </row>
    <row r="75" spans="1:15" ht="12.75">
      <c r="A75" s="6"/>
      <c r="D75" s="20" t="s">
        <v>172</v>
      </c>
      <c r="J75" s="22"/>
      <c r="L75" s="75">
        <v>14.7</v>
      </c>
      <c r="N75" s="34"/>
      <c r="O75" s="6"/>
    </row>
    <row r="76" spans="1:64" ht="12.75">
      <c r="A76" s="5" t="s">
        <v>37</v>
      </c>
      <c r="B76" s="16" t="s">
        <v>61</v>
      </c>
      <c r="C76" s="16" t="s">
        <v>95</v>
      </c>
      <c r="D76" s="86" t="s">
        <v>173</v>
      </c>
      <c r="E76" s="87"/>
      <c r="F76" s="87"/>
      <c r="G76" s="87"/>
      <c r="H76" s="87"/>
      <c r="I76" s="87"/>
      <c r="J76" s="87"/>
      <c r="K76" s="16" t="s">
        <v>214</v>
      </c>
      <c r="L76" s="74">
        <v>7.5</v>
      </c>
      <c r="M76" s="27">
        <v>0</v>
      </c>
      <c r="N76" s="44">
        <f>L76*M76</f>
        <v>0</v>
      </c>
      <c r="O76" s="6"/>
      <c r="Z76" s="37">
        <f>IF(AQ76="5",BJ76,0)</f>
        <v>0</v>
      </c>
      <c r="AB76" s="37">
        <f>IF(AQ76="1",BH76,0)</f>
        <v>0</v>
      </c>
      <c r="AC76" s="37">
        <f>IF(AQ76="1",BI76,0)</f>
        <v>0</v>
      </c>
      <c r="AD76" s="37">
        <f>IF(AQ76="7",BH76,0)</f>
        <v>0</v>
      </c>
      <c r="AE76" s="37">
        <f>IF(AQ76="7",BI76,0)</f>
        <v>0</v>
      </c>
      <c r="AF76" s="37">
        <f>IF(AQ76="2",BH76,0)</f>
        <v>0</v>
      </c>
      <c r="AG76" s="37">
        <f>IF(AQ76="2",BI76,0)</f>
        <v>0</v>
      </c>
      <c r="AH76" s="37">
        <f>IF(AQ76="0",BJ76,0)</f>
        <v>0</v>
      </c>
      <c r="AI76" s="36" t="s">
        <v>61</v>
      </c>
      <c r="AJ76" s="27">
        <f>IF(AN76=0,N76,0)</f>
        <v>0</v>
      </c>
      <c r="AK76" s="27">
        <f>IF(AN76=15,N76,0)</f>
        <v>0</v>
      </c>
      <c r="AL76" s="27">
        <f>IF(AN76=21,N76,0)</f>
        <v>0</v>
      </c>
      <c r="AN76" s="37">
        <v>21</v>
      </c>
      <c r="AO76" s="37">
        <f>M76*0.120303797468354</f>
        <v>0</v>
      </c>
      <c r="AP76" s="37">
        <f>M76*(1-0.120303797468354)</f>
        <v>0</v>
      </c>
      <c r="AQ76" s="38" t="s">
        <v>6</v>
      </c>
      <c r="AV76" s="37">
        <f>AW76+AX76</f>
        <v>0</v>
      </c>
      <c r="AW76" s="37">
        <f>L76*AO76</f>
        <v>0</v>
      </c>
      <c r="AX76" s="37">
        <f>L76*AP76</f>
        <v>0</v>
      </c>
      <c r="AY76" s="40" t="s">
        <v>240</v>
      </c>
      <c r="AZ76" s="40" t="s">
        <v>248</v>
      </c>
      <c r="BA76" s="36" t="s">
        <v>253</v>
      </c>
      <c r="BC76" s="37">
        <f>AW76+AX76</f>
        <v>0</v>
      </c>
      <c r="BD76" s="37">
        <f>M76/(100-BE76)*100</f>
        <v>0</v>
      </c>
      <c r="BE76" s="37">
        <v>0</v>
      </c>
      <c r="BF76" s="37">
        <f>76</f>
        <v>76</v>
      </c>
      <c r="BH76" s="27">
        <f>L76*AO76</f>
        <v>0</v>
      </c>
      <c r="BI76" s="27">
        <f>L76*AP76</f>
        <v>0</v>
      </c>
      <c r="BJ76" s="27">
        <f>L76*M76</f>
        <v>0</v>
      </c>
      <c r="BK76" s="27" t="s">
        <v>259</v>
      </c>
      <c r="BL76" s="37">
        <v>59</v>
      </c>
    </row>
    <row r="77" spans="1:15" ht="12.75">
      <c r="A77" s="6"/>
      <c r="D77" s="20" t="s">
        <v>128</v>
      </c>
      <c r="J77" s="22" t="s">
        <v>206</v>
      </c>
      <c r="L77" s="75">
        <v>7.5</v>
      </c>
      <c r="N77" s="34"/>
      <c r="O77" s="6"/>
    </row>
    <row r="78" spans="1:47" ht="12.75">
      <c r="A78" s="4"/>
      <c r="B78" s="15" t="s">
        <v>61</v>
      </c>
      <c r="C78" s="15" t="s">
        <v>96</v>
      </c>
      <c r="D78" s="92" t="s">
        <v>174</v>
      </c>
      <c r="E78" s="93"/>
      <c r="F78" s="93"/>
      <c r="G78" s="93"/>
      <c r="H78" s="93"/>
      <c r="I78" s="93"/>
      <c r="J78" s="93"/>
      <c r="K78" s="24" t="s">
        <v>5</v>
      </c>
      <c r="L78" s="24" t="s">
        <v>5</v>
      </c>
      <c r="M78" s="24" t="s">
        <v>5</v>
      </c>
      <c r="N78" s="43">
        <f>SUM(N79:N79)</f>
        <v>0</v>
      </c>
      <c r="O78" s="6"/>
      <c r="AI78" s="36" t="s">
        <v>61</v>
      </c>
      <c r="AS78" s="49">
        <f>SUM(AJ79:AJ79)</f>
        <v>0</v>
      </c>
      <c r="AT78" s="49">
        <f>SUM(AK79:AK79)</f>
        <v>0</v>
      </c>
      <c r="AU78" s="49">
        <f>SUM(AL79:AL79)</f>
        <v>0</v>
      </c>
    </row>
    <row r="79" spans="1:64" ht="12.75">
      <c r="A79" s="5" t="s">
        <v>38</v>
      </c>
      <c r="B79" s="16" t="s">
        <v>61</v>
      </c>
      <c r="C79" s="16" t="s">
        <v>97</v>
      </c>
      <c r="D79" s="86" t="s">
        <v>175</v>
      </c>
      <c r="E79" s="87"/>
      <c r="F79" s="87"/>
      <c r="G79" s="87"/>
      <c r="H79" s="87"/>
      <c r="I79" s="87"/>
      <c r="J79" s="87"/>
      <c r="K79" s="16" t="s">
        <v>218</v>
      </c>
      <c r="L79" s="74">
        <v>1</v>
      </c>
      <c r="M79" s="27">
        <v>0</v>
      </c>
      <c r="N79" s="44">
        <f>L79*M79</f>
        <v>0</v>
      </c>
      <c r="O79" s="6"/>
      <c r="Z79" s="37">
        <f>IF(AQ79="5",BJ79,0)</f>
        <v>0</v>
      </c>
      <c r="AB79" s="37">
        <f>IF(AQ79="1",BH79,0)</f>
        <v>0</v>
      </c>
      <c r="AC79" s="37">
        <f>IF(AQ79="1",BI79,0)</f>
        <v>0</v>
      </c>
      <c r="AD79" s="37">
        <f>IF(AQ79="7",BH79,0)</f>
        <v>0</v>
      </c>
      <c r="AE79" s="37">
        <f>IF(AQ79="7",BI79,0)</f>
        <v>0</v>
      </c>
      <c r="AF79" s="37">
        <f>IF(AQ79="2",BH79,0)</f>
        <v>0</v>
      </c>
      <c r="AG79" s="37">
        <f>IF(AQ79="2",BI79,0)</f>
        <v>0</v>
      </c>
      <c r="AH79" s="37">
        <f>IF(AQ79="0",BJ79,0)</f>
        <v>0</v>
      </c>
      <c r="AI79" s="36" t="s">
        <v>61</v>
      </c>
      <c r="AJ79" s="27">
        <f>IF(AN79=0,N79,0)</f>
        <v>0</v>
      </c>
      <c r="AK79" s="27">
        <f>IF(AN79=15,N79,0)</f>
        <v>0</v>
      </c>
      <c r="AL79" s="27">
        <f>IF(AN79=21,N79,0)</f>
        <v>0</v>
      </c>
      <c r="AN79" s="37">
        <v>21</v>
      </c>
      <c r="AO79" s="37">
        <f>M79*0.30816003216727</f>
        <v>0</v>
      </c>
      <c r="AP79" s="37">
        <f>M79*(1-0.30816003216727)</f>
        <v>0</v>
      </c>
      <c r="AQ79" s="38" t="s">
        <v>6</v>
      </c>
      <c r="AV79" s="37">
        <f>AW79+AX79</f>
        <v>0</v>
      </c>
      <c r="AW79" s="37">
        <f>L79*AO79</f>
        <v>0</v>
      </c>
      <c r="AX79" s="37">
        <f>L79*AP79</f>
        <v>0</v>
      </c>
      <c r="AY79" s="40" t="s">
        <v>241</v>
      </c>
      <c r="AZ79" s="40" t="s">
        <v>249</v>
      </c>
      <c r="BA79" s="36" t="s">
        <v>253</v>
      </c>
      <c r="BC79" s="37">
        <f>AW79+AX79</f>
        <v>0</v>
      </c>
      <c r="BD79" s="37">
        <f>M79/(100-BE79)*100</f>
        <v>0</v>
      </c>
      <c r="BE79" s="37">
        <v>0</v>
      </c>
      <c r="BF79" s="37">
        <f>79</f>
        <v>79</v>
      </c>
      <c r="BH79" s="27">
        <f>L79*AO79</f>
        <v>0</v>
      </c>
      <c r="BI79" s="27">
        <f>L79*AP79</f>
        <v>0</v>
      </c>
      <c r="BJ79" s="27">
        <f>L79*M79</f>
        <v>0</v>
      </c>
      <c r="BK79" s="27" t="s">
        <v>259</v>
      </c>
      <c r="BL79" s="37">
        <v>89</v>
      </c>
    </row>
    <row r="80" spans="1:47" ht="12.75">
      <c r="A80" s="4"/>
      <c r="B80" s="15" t="s">
        <v>61</v>
      </c>
      <c r="C80" s="15" t="s">
        <v>98</v>
      </c>
      <c r="D80" s="92" t="s">
        <v>176</v>
      </c>
      <c r="E80" s="93"/>
      <c r="F80" s="93"/>
      <c r="G80" s="93"/>
      <c r="H80" s="93"/>
      <c r="I80" s="93"/>
      <c r="J80" s="93"/>
      <c r="K80" s="24" t="s">
        <v>5</v>
      </c>
      <c r="L80" s="24" t="s">
        <v>5</v>
      </c>
      <c r="M80" s="24" t="s">
        <v>5</v>
      </c>
      <c r="N80" s="43">
        <f>SUM(N81:N86)</f>
        <v>0</v>
      </c>
      <c r="O80" s="6"/>
      <c r="AI80" s="36" t="s">
        <v>61</v>
      </c>
      <c r="AS80" s="49">
        <f>SUM(AJ81:AJ86)</f>
        <v>0</v>
      </c>
      <c r="AT80" s="49">
        <f>SUM(AK81:AK86)</f>
        <v>0</v>
      </c>
      <c r="AU80" s="49">
        <f>SUM(AL81:AL86)</f>
        <v>0</v>
      </c>
    </row>
    <row r="81" spans="1:64" ht="12.75">
      <c r="A81" s="5" t="s">
        <v>39</v>
      </c>
      <c r="B81" s="16" t="s">
        <v>61</v>
      </c>
      <c r="C81" s="16" t="s">
        <v>99</v>
      </c>
      <c r="D81" s="86" t="s">
        <v>177</v>
      </c>
      <c r="E81" s="87"/>
      <c r="F81" s="87"/>
      <c r="G81" s="87"/>
      <c r="H81" s="87"/>
      <c r="I81" s="87"/>
      <c r="J81" s="87"/>
      <c r="K81" s="16" t="s">
        <v>219</v>
      </c>
      <c r="L81" s="74">
        <v>23.3</v>
      </c>
      <c r="M81" s="27">
        <v>0</v>
      </c>
      <c r="N81" s="44">
        <f>L81*M81</f>
        <v>0</v>
      </c>
      <c r="O81" s="6"/>
      <c r="Z81" s="37">
        <f>IF(AQ81="5",BJ81,0)</f>
        <v>0</v>
      </c>
      <c r="AB81" s="37">
        <f>IF(AQ81="1",BH81,0)</f>
        <v>0</v>
      </c>
      <c r="AC81" s="37">
        <f>IF(AQ81="1",BI81,0)</f>
        <v>0</v>
      </c>
      <c r="AD81" s="37">
        <f>IF(AQ81="7",BH81,0)</f>
        <v>0</v>
      </c>
      <c r="AE81" s="37">
        <f>IF(AQ81="7",BI81,0)</f>
        <v>0</v>
      </c>
      <c r="AF81" s="37">
        <f>IF(AQ81="2",BH81,0)</f>
        <v>0</v>
      </c>
      <c r="AG81" s="37">
        <f>IF(AQ81="2",BI81,0)</f>
        <v>0</v>
      </c>
      <c r="AH81" s="37">
        <f>IF(AQ81="0",BJ81,0)</f>
        <v>0</v>
      </c>
      <c r="AI81" s="36" t="s">
        <v>61</v>
      </c>
      <c r="AJ81" s="27">
        <f>IF(AN81=0,N81,0)</f>
        <v>0</v>
      </c>
      <c r="AK81" s="27">
        <f>IF(AN81=15,N81,0)</f>
        <v>0</v>
      </c>
      <c r="AL81" s="27">
        <f>IF(AN81=21,N81,0)</f>
        <v>0</v>
      </c>
      <c r="AN81" s="37">
        <v>21</v>
      </c>
      <c r="AO81" s="37">
        <f>M81*0</f>
        <v>0</v>
      </c>
      <c r="AP81" s="37">
        <f>M81*(1-0)</f>
        <v>0</v>
      </c>
      <c r="AQ81" s="38" t="s">
        <v>6</v>
      </c>
      <c r="AV81" s="37">
        <f>AW81+AX81</f>
        <v>0</v>
      </c>
      <c r="AW81" s="37">
        <f>L81*AO81</f>
        <v>0</v>
      </c>
      <c r="AX81" s="37">
        <f>L81*AP81</f>
        <v>0</v>
      </c>
      <c r="AY81" s="40" t="s">
        <v>242</v>
      </c>
      <c r="AZ81" s="40" t="s">
        <v>250</v>
      </c>
      <c r="BA81" s="36" t="s">
        <v>253</v>
      </c>
      <c r="BC81" s="37">
        <f>AW81+AX81</f>
        <v>0</v>
      </c>
      <c r="BD81" s="37">
        <f>M81/(100-BE81)*100</f>
        <v>0</v>
      </c>
      <c r="BE81" s="37">
        <v>0</v>
      </c>
      <c r="BF81" s="37">
        <f>81</f>
        <v>81</v>
      </c>
      <c r="BH81" s="27">
        <f>L81*AO81</f>
        <v>0</v>
      </c>
      <c r="BI81" s="27">
        <f>L81*AP81</f>
        <v>0</v>
      </c>
      <c r="BJ81" s="27">
        <f>L81*M81</f>
        <v>0</v>
      </c>
      <c r="BK81" s="27" t="s">
        <v>259</v>
      </c>
      <c r="BL81" s="37">
        <v>91</v>
      </c>
    </row>
    <row r="82" spans="1:64" ht="12.75">
      <c r="A82" s="5" t="s">
        <v>40</v>
      </c>
      <c r="B82" s="16" t="s">
        <v>61</v>
      </c>
      <c r="C82" s="16" t="s">
        <v>100</v>
      </c>
      <c r="D82" s="86" t="s">
        <v>178</v>
      </c>
      <c r="E82" s="87"/>
      <c r="F82" s="87"/>
      <c r="G82" s="87"/>
      <c r="H82" s="87"/>
      <c r="I82" s="87"/>
      <c r="J82" s="87"/>
      <c r="K82" s="16" t="s">
        <v>219</v>
      </c>
      <c r="L82" s="74">
        <v>34.7</v>
      </c>
      <c r="M82" s="27">
        <v>0</v>
      </c>
      <c r="N82" s="44">
        <f>L82*M82</f>
        <v>0</v>
      </c>
      <c r="O82" s="6"/>
      <c r="Z82" s="37">
        <f>IF(AQ82="5",BJ82,0)</f>
        <v>0</v>
      </c>
      <c r="AB82" s="37">
        <f>IF(AQ82="1",BH82,0)</f>
        <v>0</v>
      </c>
      <c r="AC82" s="37">
        <f>IF(AQ82="1",BI82,0)</f>
        <v>0</v>
      </c>
      <c r="AD82" s="37">
        <f>IF(AQ82="7",BH82,0)</f>
        <v>0</v>
      </c>
      <c r="AE82" s="37">
        <f>IF(AQ82="7",BI82,0)</f>
        <v>0</v>
      </c>
      <c r="AF82" s="37">
        <f>IF(AQ82="2",BH82,0)</f>
        <v>0</v>
      </c>
      <c r="AG82" s="37">
        <f>IF(AQ82="2",BI82,0)</f>
        <v>0</v>
      </c>
      <c r="AH82" s="37">
        <f>IF(AQ82="0",BJ82,0)</f>
        <v>0</v>
      </c>
      <c r="AI82" s="36" t="s">
        <v>61</v>
      </c>
      <c r="AJ82" s="27">
        <f>IF(AN82=0,N82,0)</f>
        <v>0</v>
      </c>
      <c r="AK82" s="27">
        <f>IF(AN82=15,N82,0)</f>
        <v>0</v>
      </c>
      <c r="AL82" s="27">
        <f>IF(AN82=21,N82,0)</f>
        <v>0</v>
      </c>
      <c r="AN82" s="37">
        <v>21</v>
      </c>
      <c r="AO82" s="37">
        <f>M82*0.502757417102967</f>
        <v>0</v>
      </c>
      <c r="AP82" s="37">
        <f>M82*(1-0.502757417102967)</f>
        <v>0</v>
      </c>
      <c r="AQ82" s="38" t="s">
        <v>6</v>
      </c>
      <c r="AV82" s="37">
        <f>AW82+AX82</f>
        <v>0</v>
      </c>
      <c r="AW82" s="37">
        <f>L82*AO82</f>
        <v>0</v>
      </c>
      <c r="AX82" s="37">
        <f>L82*AP82</f>
        <v>0</v>
      </c>
      <c r="AY82" s="40" t="s">
        <v>242</v>
      </c>
      <c r="AZ82" s="40" t="s">
        <v>250</v>
      </c>
      <c r="BA82" s="36" t="s">
        <v>253</v>
      </c>
      <c r="BC82" s="37">
        <f>AW82+AX82</f>
        <v>0</v>
      </c>
      <c r="BD82" s="37">
        <f>M82/(100-BE82)*100</f>
        <v>0</v>
      </c>
      <c r="BE82" s="37">
        <v>0</v>
      </c>
      <c r="BF82" s="37">
        <f>82</f>
        <v>82</v>
      </c>
      <c r="BH82" s="27">
        <f>L82*AO82</f>
        <v>0</v>
      </c>
      <c r="BI82" s="27">
        <f>L82*AP82</f>
        <v>0</v>
      </c>
      <c r="BJ82" s="27">
        <f>L82*M82</f>
        <v>0</v>
      </c>
      <c r="BK82" s="27" t="s">
        <v>259</v>
      </c>
      <c r="BL82" s="37">
        <v>91</v>
      </c>
    </row>
    <row r="83" spans="1:64" ht="12.75">
      <c r="A83" s="5" t="s">
        <v>41</v>
      </c>
      <c r="B83" s="16" t="s">
        <v>61</v>
      </c>
      <c r="C83" s="16" t="s">
        <v>101</v>
      </c>
      <c r="D83" s="86" t="s">
        <v>179</v>
      </c>
      <c r="E83" s="87"/>
      <c r="F83" s="87"/>
      <c r="G83" s="87"/>
      <c r="H83" s="87"/>
      <c r="I83" s="87"/>
      <c r="J83" s="87"/>
      <c r="K83" s="16" t="s">
        <v>215</v>
      </c>
      <c r="L83" s="74">
        <v>1.388</v>
      </c>
      <c r="M83" s="27">
        <v>0</v>
      </c>
      <c r="N83" s="44">
        <f>L83*M83</f>
        <v>0</v>
      </c>
      <c r="O83" s="6"/>
      <c r="Z83" s="37">
        <f>IF(AQ83="5",BJ83,0)</f>
        <v>0</v>
      </c>
      <c r="AB83" s="37">
        <f>IF(AQ83="1",BH83,0)</f>
        <v>0</v>
      </c>
      <c r="AC83" s="37">
        <f>IF(AQ83="1",BI83,0)</f>
        <v>0</v>
      </c>
      <c r="AD83" s="37">
        <f>IF(AQ83="7",BH83,0)</f>
        <v>0</v>
      </c>
      <c r="AE83" s="37">
        <f>IF(AQ83="7",BI83,0)</f>
        <v>0</v>
      </c>
      <c r="AF83" s="37">
        <f>IF(AQ83="2",BH83,0)</f>
        <v>0</v>
      </c>
      <c r="AG83" s="37">
        <f>IF(AQ83="2",BI83,0)</f>
        <v>0</v>
      </c>
      <c r="AH83" s="37">
        <f>IF(AQ83="0",BJ83,0)</f>
        <v>0</v>
      </c>
      <c r="AI83" s="36" t="s">
        <v>61</v>
      </c>
      <c r="AJ83" s="27">
        <f>IF(AN83=0,N83,0)</f>
        <v>0</v>
      </c>
      <c r="AK83" s="27">
        <f>IF(AN83=15,N83,0)</f>
        <v>0</v>
      </c>
      <c r="AL83" s="27">
        <f>IF(AN83=21,N83,0)</f>
        <v>0</v>
      </c>
      <c r="AN83" s="37">
        <v>21</v>
      </c>
      <c r="AO83" s="37">
        <f>M83*0.783546848381601</f>
        <v>0</v>
      </c>
      <c r="AP83" s="37">
        <f>M83*(1-0.783546848381601)</f>
        <v>0</v>
      </c>
      <c r="AQ83" s="38" t="s">
        <v>6</v>
      </c>
      <c r="AV83" s="37">
        <f>AW83+AX83</f>
        <v>0</v>
      </c>
      <c r="AW83" s="37">
        <f>L83*AO83</f>
        <v>0</v>
      </c>
      <c r="AX83" s="37">
        <f>L83*AP83</f>
        <v>0</v>
      </c>
      <c r="AY83" s="40" t="s">
        <v>242</v>
      </c>
      <c r="AZ83" s="40" t="s">
        <v>250</v>
      </c>
      <c r="BA83" s="36" t="s">
        <v>253</v>
      </c>
      <c r="BC83" s="37">
        <f>AW83+AX83</f>
        <v>0</v>
      </c>
      <c r="BD83" s="37">
        <f>M83/(100-BE83)*100</f>
        <v>0</v>
      </c>
      <c r="BE83" s="37">
        <v>0</v>
      </c>
      <c r="BF83" s="37">
        <f>83</f>
        <v>83</v>
      </c>
      <c r="BH83" s="27">
        <f>L83*AO83</f>
        <v>0</v>
      </c>
      <c r="BI83" s="27">
        <f>L83*AP83</f>
        <v>0</v>
      </c>
      <c r="BJ83" s="27">
        <f>L83*M83</f>
        <v>0</v>
      </c>
      <c r="BK83" s="27" t="s">
        <v>259</v>
      </c>
      <c r="BL83" s="37">
        <v>91</v>
      </c>
    </row>
    <row r="84" spans="1:15" ht="12.75">
      <c r="A84" s="6"/>
      <c r="D84" s="20" t="s">
        <v>180</v>
      </c>
      <c r="J84" s="22"/>
      <c r="L84" s="75">
        <v>1.388</v>
      </c>
      <c r="N84" s="34"/>
      <c r="O84" s="6"/>
    </row>
    <row r="85" spans="1:64" ht="12.75">
      <c r="A85" s="7" t="s">
        <v>42</v>
      </c>
      <c r="B85" s="17" t="s">
        <v>61</v>
      </c>
      <c r="C85" s="17" t="s">
        <v>102</v>
      </c>
      <c r="D85" s="95" t="s">
        <v>181</v>
      </c>
      <c r="E85" s="96"/>
      <c r="F85" s="96"/>
      <c r="G85" s="96"/>
      <c r="H85" s="96"/>
      <c r="I85" s="96"/>
      <c r="J85" s="96"/>
      <c r="K85" s="17" t="s">
        <v>219</v>
      </c>
      <c r="L85" s="76">
        <v>36</v>
      </c>
      <c r="M85" s="28">
        <v>0</v>
      </c>
      <c r="N85" s="45">
        <f>L85*M85</f>
        <v>0</v>
      </c>
      <c r="O85" s="6"/>
      <c r="Z85" s="37">
        <f>IF(AQ85="5",BJ85,0)</f>
        <v>0</v>
      </c>
      <c r="AB85" s="37">
        <f>IF(AQ85="1",BH85,0)</f>
        <v>0</v>
      </c>
      <c r="AC85" s="37">
        <f>IF(AQ85="1",BI85,0)</f>
        <v>0</v>
      </c>
      <c r="AD85" s="37">
        <f>IF(AQ85="7",BH85,0)</f>
        <v>0</v>
      </c>
      <c r="AE85" s="37">
        <f>IF(AQ85="7",BI85,0)</f>
        <v>0</v>
      </c>
      <c r="AF85" s="37">
        <f>IF(AQ85="2",BH85,0)</f>
        <v>0</v>
      </c>
      <c r="AG85" s="37">
        <f>IF(AQ85="2",BI85,0)</f>
        <v>0</v>
      </c>
      <c r="AH85" s="37">
        <f>IF(AQ85="0",BJ85,0)</f>
        <v>0</v>
      </c>
      <c r="AI85" s="36" t="s">
        <v>61</v>
      </c>
      <c r="AJ85" s="28">
        <f>IF(AN85=0,N85,0)</f>
        <v>0</v>
      </c>
      <c r="AK85" s="28">
        <f>IF(AN85=15,N85,0)</f>
        <v>0</v>
      </c>
      <c r="AL85" s="28">
        <f>IF(AN85=21,N85,0)</f>
        <v>0</v>
      </c>
      <c r="AN85" s="37">
        <v>21</v>
      </c>
      <c r="AO85" s="37">
        <f>M85*1</f>
        <v>0</v>
      </c>
      <c r="AP85" s="37">
        <f>M85*(1-1)</f>
        <v>0</v>
      </c>
      <c r="AQ85" s="39" t="s">
        <v>6</v>
      </c>
      <c r="AV85" s="37">
        <f>AW85+AX85</f>
        <v>0</v>
      </c>
      <c r="AW85" s="37">
        <f>L85*AO85</f>
        <v>0</v>
      </c>
      <c r="AX85" s="37">
        <f>L85*AP85</f>
        <v>0</v>
      </c>
      <c r="AY85" s="40" t="s">
        <v>242</v>
      </c>
      <c r="AZ85" s="40" t="s">
        <v>250</v>
      </c>
      <c r="BA85" s="36" t="s">
        <v>253</v>
      </c>
      <c r="BC85" s="37">
        <f>AW85+AX85</f>
        <v>0</v>
      </c>
      <c r="BD85" s="37">
        <f>M85/(100-BE85)*100</f>
        <v>0</v>
      </c>
      <c r="BE85" s="37">
        <v>0</v>
      </c>
      <c r="BF85" s="37">
        <f>85</f>
        <v>85</v>
      </c>
      <c r="BH85" s="28">
        <f>L85*AO85</f>
        <v>0</v>
      </c>
      <c r="BI85" s="28">
        <f>L85*AP85</f>
        <v>0</v>
      </c>
      <c r="BJ85" s="28">
        <f>L85*M85</f>
        <v>0</v>
      </c>
      <c r="BK85" s="28" t="s">
        <v>260</v>
      </c>
      <c r="BL85" s="37">
        <v>91</v>
      </c>
    </row>
    <row r="86" spans="1:64" ht="12.75">
      <c r="A86" s="5" t="s">
        <v>43</v>
      </c>
      <c r="B86" s="16" t="s">
        <v>61</v>
      </c>
      <c r="C86" s="16" t="s">
        <v>103</v>
      </c>
      <c r="D86" s="86" t="s">
        <v>182</v>
      </c>
      <c r="E86" s="87"/>
      <c r="F86" s="87"/>
      <c r="G86" s="87"/>
      <c r="H86" s="87"/>
      <c r="I86" s="87"/>
      <c r="J86" s="87"/>
      <c r="K86" s="16" t="s">
        <v>216</v>
      </c>
      <c r="L86" s="74">
        <v>120.04219</v>
      </c>
      <c r="M86" s="27">
        <v>0</v>
      </c>
      <c r="N86" s="44">
        <f>L86*M86</f>
        <v>0</v>
      </c>
      <c r="O86" s="6"/>
      <c r="Z86" s="37">
        <f>IF(AQ86="5",BJ86,0)</f>
        <v>0</v>
      </c>
      <c r="AB86" s="37">
        <f>IF(AQ86="1",BH86,0)</f>
        <v>0</v>
      </c>
      <c r="AC86" s="37">
        <f>IF(AQ86="1",BI86,0)</f>
        <v>0</v>
      </c>
      <c r="AD86" s="37">
        <f>IF(AQ86="7",BH86,0)</f>
        <v>0</v>
      </c>
      <c r="AE86" s="37">
        <f>IF(AQ86="7",BI86,0)</f>
        <v>0</v>
      </c>
      <c r="AF86" s="37">
        <f>IF(AQ86="2",BH86,0)</f>
        <v>0</v>
      </c>
      <c r="AG86" s="37">
        <f>IF(AQ86="2",BI86,0)</f>
        <v>0</v>
      </c>
      <c r="AH86" s="37">
        <f>IF(AQ86="0",BJ86,0)</f>
        <v>0</v>
      </c>
      <c r="AI86" s="36" t="s">
        <v>61</v>
      </c>
      <c r="AJ86" s="27">
        <f>IF(AN86=0,N86,0)</f>
        <v>0</v>
      </c>
      <c r="AK86" s="27">
        <f>IF(AN86=15,N86,0)</f>
        <v>0</v>
      </c>
      <c r="AL86" s="27">
        <f>IF(AN86=21,N86,0)</f>
        <v>0</v>
      </c>
      <c r="AN86" s="37">
        <v>21</v>
      </c>
      <c r="AO86" s="37">
        <f>M86*0</f>
        <v>0</v>
      </c>
      <c r="AP86" s="37">
        <f>M86*(1-0)</f>
        <v>0</v>
      </c>
      <c r="AQ86" s="38" t="s">
        <v>10</v>
      </c>
      <c r="AV86" s="37">
        <f>AW86+AX86</f>
        <v>0</v>
      </c>
      <c r="AW86" s="37">
        <f>L86*AO86</f>
        <v>0</v>
      </c>
      <c r="AX86" s="37">
        <f>L86*AP86</f>
        <v>0</v>
      </c>
      <c r="AY86" s="40" t="s">
        <v>242</v>
      </c>
      <c r="AZ86" s="40" t="s">
        <v>250</v>
      </c>
      <c r="BA86" s="36" t="s">
        <v>253</v>
      </c>
      <c r="BC86" s="37">
        <f>AW86+AX86</f>
        <v>0</v>
      </c>
      <c r="BD86" s="37">
        <f>M86/(100-BE86)*100</f>
        <v>0</v>
      </c>
      <c r="BE86" s="37">
        <v>0</v>
      </c>
      <c r="BF86" s="37">
        <f>86</f>
        <v>86</v>
      </c>
      <c r="BH86" s="27">
        <f>L86*AO86</f>
        <v>0</v>
      </c>
      <c r="BI86" s="27">
        <f>L86*AP86</f>
        <v>0</v>
      </c>
      <c r="BJ86" s="27">
        <f>L86*M86</f>
        <v>0</v>
      </c>
      <c r="BK86" s="27" t="s">
        <v>259</v>
      </c>
      <c r="BL86" s="37">
        <v>91</v>
      </c>
    </row>
    <row r="87" spans="1:47" ht="12.75">
      <c r="A87" s="4"/>
      <c r="B87" s="15" t="s">
        <v>61</v>
      </c>
      <c r="C87" s="15" t="s">
        <v>104</v>
      </c>
      <c r="D87" s="92" t="s">
        <v>183</v>
      </c>
      <c r="E87" s="93"/>
      <c r="F87" s="93"/>
      <c r="G87" s="93"/>
      <c r="H87" s="93"/>
      <c r="I87" s="93"/>
      <c r="J87" s="93"/>
      <c r="K87" s="24" t="s">
        <v>5</v>
      </c>
      <c r="L87" s="24" t="s">
        <v>5</v>
      </c>
      <c r="M87" s="24" t="s">
        <v>5</v>
      </c>
      <c r="N87" s="43">
        <f>SUM(N88:N93)</f>
        <v>0</v>
      </c>
      <c r="O87" s="6"/>
      <c r="AI87" s="36" t="s">
        <v>61</v>
      </c>
      <c r="AS87" s="49">
        <f>SUM(AJ88:AJ93)</f>
        <v>0</v>
      </c>
      <c r="AT87" s="49">
        <f>SUM(AK88:AK93)</f>
        <v>0</v>
      </c>
      <c r="AU87" s="49">
        <f>SUM(AL88:AL93)</f>
        <v>0</v>
      </c>
    </row>
    <row r="88" spans="1:64" ht="12.75">
      <c r="A88" s="5" t="s">
        <v>44</v>
      </c>
      <c r="B88" s="16" t="s">
        <v>61</v>
      </c>
      <c r="C88" s="16" t="s">
        <v>105</v>
      </c>
      <c r="D88" s="86" t="s">
        <v>184</v>
      </c>
      <c r="E88" s="87"/>
      <c r="F88" s="87"/>
      <c r="G88" s="87"/>
      <c r="H88" s="87"/>
      <c r="I88" s="87"/>
      <c r="J88" s="87"/>
      <c r="K88" s="16" t="s">
        <v>216</v>
      </c>
      <c r="L88" s="74">
        <v>11.241</v>
      </c>
      <c r="M88" s="27">
        <v>0</v>
      </c>
      <c r="N88" s="44">
        <f>L88*M88</f>
        <v>0</v>
      </c>
      <c r="O88" s="6"/>
      <c r="Z88" s="37">
        <f>IF(AQ88="5",BJ88,0)</f>
        <v>0</v>
      </c>
      <c r="AB88" s="37">
        <f>IF(AQ88="1",BH88,0)</f>
        <v>0</v>
      </c>
      <c r="AC88" s="37">
        <f>IF(AQ88="1",BI88,0)</f>
        <v>0</v>
      </c>
      <c r="AD88" s="37">
        <f>IF(AQ88="7",BH88,0)</f>
        <v>0</v>
      </c>
      <c r="AE88" s="37">
        <f>IF(AQ88="7",BI88,0)</f>
        <v>0</v>
      </c>
      <c r="AF88" s="37">
        <f>IF(AQ88="2",BH88,0)</f>
        <v>0</v>
      </c>
      <c r="AG88" s="37">
        <f>IF(AQ88="2",BI88,0)</f>
        <v>0</v>
      </c>
      <c r="AH88" s="37">
        <f>IF(AQ88="0",BJ88,0)</f>
        <v>0</v>
      </c>
      <c r="AI88" s="36" t="s">
        <v>61</v>
      </c>
      <c r="AJ88" s="27">
        <f>IF(AN88=0,N88,0)</f>
        <v>0</v>
      </c>
      <c r="AK88" s="27">
        <f>IF(AN88=15,N88,0)</f>
        <v>0</v>
      </c>
      <c r="AL88" s="27">
        <f>IF(AN88=21,N88,0)</f>
        <v>0</v>
      </c>
      <c r="AN88" s="37">
        <v>21</v>
      </c>
      <c r="AO88" s="37">
        <f>M88*0</f>
        <v>0</v>
      </c>
      <c r="AP88" s="37">
        <f>M88*(1-0)</f>
        <v>0</v>
      </c>
      <c r="AQ88" s="38" t="s">
        <v>10</v>
      </c>
      <c r="AV88" s="37">
        <f>AW88+AX88</f>
        <v>0</v>
      </c>
      <c r="AW88" s="37">
        <f>L88*AO88</f>
        <v>0</v>
      </c>
      <c r="AX88" s="37">
        <f>L88*AP88</f>
        <v>0</v>
      </c>
      <c r="AY88" s="40" t="s">
        <v>243</v>
      </c>
      <c r="AZ88" s="40" t="s">
        <v>250</v>
      </c>
      <c r="BA88" s="36" t="s">
        <v>253</v>
      </c>
      <c r="BC88" s="37">
        <f>AW88+AX88</f>
        <v>0</v>
      </c>
      <c r="BD88" s="37">
        <f>M88/(100-BE88)*100</f>
        <v>0</v>
      </c>
      <c r="BE88" s="37">
        <v>0</v>
      </c>
      <c r="BF88" s="37">
        <f>88</f>
        <v>88</v>
      </c>
      <c r="BH88" s="27">
        <f>L88*AO88</f>
        <v>0</v>
      </c>
      <c r="BI88" s="27">
        <f>L88*AP88</f>
        <v>0</v>
      </c>
      <c r="BJ88" s="27">
        <f>L88*M88</f>
        <v>0</v>
      </c>
      <c r="BK88" s="27" t="s">
        <v>259</v>
      </c>
      <c r="BL88" s="37" t="s">
        <v>104</v>
      </c>
    </row>
    <row r="89" spans="1:64" ht="12.75">
      <c r="A89" s="5" t="s">
        <v>45</v>
      </c>
      <c r="B89" s="16" t="s">
        <v>61</v>
      </c>
      <c r="C89" s="16" t="s">
        <v>106</v>
      </c>
      <c r="D89" s="86" t="s">
        <v>185</v>
      </c>
      <c r="E89" s="87"/>
      <c r="F89" s="87"/>
      <c r="G89" s="87"/>
      <c r="H89" s="87"/>
      <c r="I89" s="87"/>
      <c r="J89" s="87"/>
      <c r="K89" s="16" t="s">
        <v>216</v>
      </c>
      <c r="L89" s="74">
        <v>44.964</v>
      </c>
      <c r="M89" s="27">
        <v>0</v>
      </c>
      <c r="N89" s="44">
        <f>L89*M89</f>
        <v>0</v>
      </c>
      <c r="O89" s="6"/>
      <c r="Z89" s="37">
        <f>IF(AQ89="5",BJ89,0)</f>
        <v>0</v>
      </c>
      <c r="AB89" s="37">
        <f>IF(AQ89="1",BH89,0)</f>
        <v>0</v>
      </c>
      <c r="AC89" s="37">
        <f>IF(AQ89="1",BI89,0)</f>
        <v>0</v>
      </c>
      <c r="AD89" s="37">
        <f>IF(AQ89="7",BH89,0)</f>
        <v>0</v>
      </c>
      <c r="AE89" s="37">
        <f>IF(AQ89="7",BI89,0)</f>
        <v>0</v>
      </c>
      <c r="AF89" s="37">
        <f>IF(AQ89="2",BH89,0)</f>
        <v>0</v>
      </c>
      <c r="AG89" s="37">
        <f>IF(AQ89="2",BI89,0)</f>
        <v>0</v>
      </c>
      <c r="AH89" s="37">
        <f>IF(AQ89="0",BJ89,0)</f>
        <v>0</v>
      </c>
      <c r="AI89" s="36" t="s">
        <v>61</v>
      </c>
      <c r="AJ89" s="27">
        <f>IF(AN89=0,N89,0)</f>
        <v>0</v>
      </c>
      <c r="AK89" s="27">
        <f>IF(AN89=15,N89,0)</f>
        <v>0</v>
      </c>
      <c r="AL89" s="27">
        <f>IF(AN89=21,N89,0)</f>
        <v>0</v>
      </c>
      <c r="AN89" s="37">
        <v>21</v>
      </c>
      <c r="AO89" s="37">
        <f>M89*0</f>
        <v>0</v>
      </c>
      <c r="AP89" s="37">
        <f>M89*(1-0)</f>
        <v>0</v>
      </c>
      <c r="AQ89" s="38" t="s">
        <v>10</v>
      </c>
      <c r="AV89" s="37">
        <f>AW89+AX89</f>
        <v>0</v>
      </c>
      <c r="AW89" s="37">
        <f>L89*AO89</f>
        <v>0</v>
      </c>
      <c r="AX89" s="37">
        <f>L89*AP89</f>
        <v>0</v>
      </c>
      <c r="AY89" s="40" t="s">
        <v>243</v>
      </c>
      <c r="AZ89" s="40" t="s">
        <v>250</v>
      </c>
      <c r="BA89" s="36" t="s">
        <v>253</v>
      </c>
      <c r="BC89" s="37">
        <f>AW89+AX89</f>
        <v>0</v>
      </c>
      <c r="BD89" s="37">
        <f>M89/(100-BE89)*100</f>
        <v>0</v>
      </c>
      <c r="BE89" s="37">
        <v>0</v>
      </c>
      <c r="BF89" s="37">
        <f>89</f>
        <v>89</v>
      </c>
      <c r="BH89" s="27">
        <f>L89*AO89</f>
        <v>0</v>
      </c>
      <c r="BI89" s="27">
        <f>L89*AP89</f>
        <v>0</v>
      </c>
      <c r="BJ89" s="27">
        <f>L89*M89</f>
        <v>0</v>
      </c>
      <c r="BK89" s="27" t="s">
        <v>259</v>
      </c>
      <c r="BL89" s="37" t="s">
        <v>104</v>
      </c>
    </row>
    <row r="90" spans="1:15" ht="12.75">
      <c r="A90" s="6"/>
      <c r="D90" s="20" t="s">
        <v>186</v>
      </c>
      <c r="J90" s="22"/>
      <c r="L90" s="75">
        <v>44.964</v>
      </c>
      <c r="N90" s="34"/>
      <c r="O90" s="6"/>
    </row>
    <row r="91" spans="1:64" ht="12.75">
      <c r="A91" s="5" t="s">
        <v>46</v>
      </c>
      <c r="B91" s="16" t="s">
        <v>61</v>
      </c>
      <c r="C91" s="16" t="s">
        <v>107</v>
      </c>
      <c r="D91" s="86" t="s">
        <v>187</v>
      </c>
      <c r="E91" s="87"/>
      <c r="F91" s="87"/>
      <c r="G91" s="87"/>
      <c r="H91" s="87"/>
      <c r="I91" s="87"/>
      <c r="J91" s="87"/>
      <c r="K91" s="16" t="s">
        <v>216</v>
      </c>
      <c r="L91" s="74">
        <v>11.241</v>
      </c>
      <c r="M91" s="27">
        <v>0</v>
      </c>
      <c r="N91" s="44">
        <f>L91*M91</f>
        <v>0</v>
      </c>
      <c r="O91" s="6"/>
      <c r="Z91" s="37">
        <f>IF(AQ91="5",BJ91,0)</f>
        <v>0</v>
      </c>
      <c r="AB91" s="37">
        <f>IF(AQ91="1",BH91,0)</f>
        <v>0</v>
      </c>
      <c r="AC91" s="37">
        <f>IF(AQ91="1",BI91,0)</f>
        <v>0</v>
      </c>
      <c r="AD91" s="37">
        <f>IF(AQ91="7",BH91,0)</f>
        <v>0</v>
      </c>
      <c r="AE91" s="37">
        <f>IF(AQ91="7",BI91,0)</f>
        <v>0</v>
      </c>
      <c r="AF91" s="37">
        <f>IF(AQ91="2",BH91,0)</f>
        <v>0</v>
      </c>
      <c r="AG91" s="37">
        <f>IF(AQ91="2",BI91,0)</f>
        <v>0</v>
      </c>
      <c r="AH91" s="37">
        <f>IF(AQ91="0",BJ91,0)</f>
        <v>0</v>
      </c>
      <c r="AI91" s="36" t="s">
        <v>61</v>
      </c>
      <c r="AJ91" s="27">
        <f>IF(AN91=0,N91,0)</f>
        <v>0</v>
      </c>
      <c r="AK91" s="27">
        <f>IF(AN91=15,N91,0)</f>
        <v>0</v>
      </c>
      <c r="AL91" s="27">
        <f>IF(AN91=21,N91,0)</f>
        <v>0</v>
      </c>
      <c r="AN91" s="37">
        <v>21</v>
      </c>
      <c r="AO91" s="37">
        <f>M91*0</f>
        <v>0</v>
      </c>
      <c r="AP91" s="37">
        <f>M91*(1-0)</f>
        <v>0</v>
      </c>
      <c r="AQ91" s="38" t="s">
        <v>10</v>
      </c>
      <c r="AV91" s="37">
        <f>AW91+AX91</f>
        <v>0</v>
      </c>
      <c r="AW91" s="37">
        <f>L91*AO91</f>
        <v>0</v>
      </c>
      <c r="AX91" s="37">
        <f>L91*AP91</f>
        <v>0</v>
      </c>
      <c r="AY91" s="40" t="s">
        <v>243</v>
      </c>
      <c r="AZ91" s="40" t="s">
        <v>250</v>
      </c>
      <c r="BA91" s="36" t="s">
        <v>253</v>
      </c>
      <c r="BC91" s="37">
        <f>AW91+AX91</f>
        <v>0</v>
      </c>
      <c r="BD91" s="37">
        <f>M91/(100-BE91)*100</f>
        <v>0</v>
      </c>
      <c r="BE91" s="37">
        <v>0</v>
      </c>
      <c r="BF91" s="37">
        <f>91</f>
        <v>91</v>
      </c>
      <c r="BH91" s="27">
        <f>L91*AO91</f>
        <v>0</v>
      </c>
      <c r="BI91" s="27">
        <f>L91*AP91</f>
        <v>0</v>
      </c>
      <c r="BJ91" s="27">
        <f>L91*M91</f>
        <v>0</v>
      </c>
      <c r="BK91" s="27" t="s">
        <v>259</v>
      </c>
      <c r="BL91" s="37" t="s">
        <v>104</v>
      </c>
    </row>
    <row r="92" spans="1:64" ht="12.75">
      <c r="A92" s="5" t="s">
        <v>47</v>
      </c>
      <c r="B92" s="16" t="s">
        <v>61</v>
      </c>
      <c r="C92" s="16" t="s">
        <v>108</v>
      </c>
      <c r="D92" s="86" t="s">
        <v>188</v>
      </c>
      <c r="E92" s="87"/>
      <c r="F92" s="87"/>
      <c r="G92" s="87"/>
      <c r="H92" s="87"/>
      <c r="I92" s="87"/>
      <c r="J92" s="87"/>
      <c r="K92" s="16" t="s">
        <v>216</v>
      </c>
      <c r="L92" s="74">
        <v>11.241</v>
      </c>
      <c r="M92" s="27">
        <v>0</v>
      </c>
      <c r="N92" s="44">
        <f>L92*M92</f>
        <v>0</v>
      </c>
      <c r="O92" s="6"/>
      <c r="Z92" s="37">
        <f>IF(AQ92="5",BJ92,0)</f>
        <v>0</v>
      </c>
      <c r="AB92" s="37">
        <f>IF(AQ92="1",BH92,0)</f>
        <v>0</v>
      </c>
      <c r="AC92" s="37">
        <f>IF(AQ92="1",BI92,0)</f>
        <v>0</v>
      </c>
      <c r="AD92" s="37">
        <f>IF(AQ92="7",BH92,0)</f>
        <v>0</v>
      </c>
      <c r="AE92" s="37">
        <f>IF(AQ92="7",BI92,0)</f>
        <v>0</v>
      </c>
      <c r="AF92" s="37">
        <f>IF(AQ92="2",BH92,0)</f>
        <v>0</v>
      </c>
      <c r="AG92" s="37">
        <f>IF(AQ92="2",BI92,0)</f>
        <v>0</v>
      </c>
      <c r="AH92" s="37">
        <f>IF(AQ92="0",BJ92,0)</f>
        <v>0</v>
      </c>
      <c r="AI92" s="36" t="s">
        <v>61</v>
      </c>
      <c r="AJ92" s="27">
        <f>IF(AN92=0,N92,0)</f>
        <v>0</v>
      </c>
      <c r="AK92" s="27">
        <f>IF(AN92=15,N92,0)</f>
        <v>0</v>
      </c>
      <c r="AL92" s="27">
        <f>IF(AN92=21,N92,0)</f>
        <v>0</v>
      </c>
      <c r="AN92" s="37">
        <v>21</v>
      </c>
      <c r="AO92" s="37">
        <f>M92*0</f>
        <v>0</v>
      </c>
      <c r="AP92" s="37">
        <f>M92*(1-0)</f>
        <v>0</v>
      </c>
      <c r="AQ92" s="38" t="s">
        <v>10</v>
      </c>
      <c r="AV92" s="37">
        <f>AW92+AX92</f>
        <v>0</v>
      </c>
      <c r="AW92" s="37">
        <f>L92*AO92</f>
        <v>0</v>
      </c>
      <c r="AX92" s="37">
        <f>L92*AP92</f>
        <v>0</v>
      </c>
      <c r="AY92" s="40" t="s">
        <v>243</v>
      </c>
      <c r="AZ92" s="40" t="s">
        <v>250</v>
      </c>
      <c r="BA92" s="36" t="s">
        <v>253</v>
      </c>
      <c r="BC92" s="37">
        <f>AW92+AX92</f>
        <v>0</v>
      </c>
      <c r="BD92" s="37">
        <f>M92/(100-BE92)*100</f>
        <v>0</v>
      </c>
      <c r="BE92" s="37">
        <v>0</v>
      </c>
      <c r="BF92" s="37">
        <f>92</f>
        <v>92</v>
      </c>
      <c r="BH92" s="27">
        <f>L92*AO92</f>
        <v>0</v>
      </c>
      <c r="BI92" s="27">
        <f>L92*AP92</f>
        <v>0</v>
      </c>
      <c r="BJ92" s="27">
        <f>L92*M92</f>
        <v>0</v>
      </c>
      <c r="BK92" s="27" t="s">
        <v>259</v>
      </c>
      <c r="BL92" s="37" t="s">
        <v>104</v>
      </c>
    </row>
    <row r="93" spans="1:64" ht="12.75">
      <c r="A93" s="5" t="s">
        <v>48</v>
      </c>
      <c r="B93" s="16" t="s">
        <v>61</v>
      </c>
      <c r="C93" s="16" t="s">
        <v>109</v>
      </c>
      <c r="D93" s="86" t="s">
        <v>189</v>
      </c>
      <c r="E93" s="87"/>
      <c r="F93" s="87"/>
      <c r="G93" s="87"/>
      <c r="H93" s="87"/>
      <c r="I93" s="87"/>
      <c r="J93" s="87"/>
      <c r="K93" s="16" t="s">
        <v>216</v>
      </c>
      <c r="L93" s="74">
        <v>11.241</v>
      </c>
      <c r="M93" s="27">
        <v>0</v>
      </c>
      <c r="N93" s="44">
        <f>L93*M93</f>
        <v>0</v>
      </c>
      <c r="O93" s="6"/>
      <c r="Z93" s="37">
        <f>IF(AQ93="5",BJ93,0)</f>
        <v>0</v>
      </c>
      <c r="AB93" s="37">
        <f>IF(AQ93="1",BH93,0)</f>
        <v>0</v>
      </c>
      <c r="AC93" s="37">
        <f>IF(AQ93="1",BI93,0)</f>
        <v>0</v>
      </c>
      <c r="AD93" s="37">
        <f>IF(AQ93="7",BH93,0)</f>
        <v>0</v>
      </c>
      <c r="AE93" s="37">
        <f>IF(AQ93="7",BI93,0)</f>
        <v>0</v>
      </c>
      <c r="AF93" s="37">
        <f>IF(AQ93="2",BH93,0)</f>
        <v>0</v>
      </c>
      <c r="AG93" s="37">
        <f>IF(AQ93="2",BI93,0)</f>
        <v>0</v>
      </c>
      <c r="AH93" s="37">
        <f>IF(AQ93="0",BJ93,0)</f>
        <v>0</v>
      </c>
      <c r="AI93" s="36" t="s">
        <v>61</v>
      </c>
      <c r="AJ93" s="27">
        <f>IF(AN93=0,N93,0)</f>
        <v>0</v>
      </c>
      <c r="AK93" s="27">
        <f>IF(AN93=15,N93,0)</f>
        <v>0</v>
      </c>
      <c r="AL93" s="27">
        <f>IF(AN93=21,N93,0)</f>
        <v>0</v>
      </c>
      <c r="AN93" s="37">
        <v>21</v>
      </c>
      <c r="AO93" s="37">
        <f>M93*0</f>
        <v>0</v>
      </c>
      <c r="AP93" s="37">
        <f>M93*(1-0)</f>
        <v>0</v>
      </c>
      <c r="AQ93" s="38" t="s">
        <v>10</v>
      </c>
      <c r="AV93" s="37">
        <f>AW93+AX93</f>
        <v>0</v>
      </c>
      <c r="AW93" s="37">
        <f>L93*AO93</f>
        <v>0</v>
      </c>
      <c r="AX93" s="37">
        <f>L93*AP93</f>
        <v>0</v>
      </c>
      <c r="AY93" s="40" t="s">
        <v>243</v>
      </c>
      <c r="AZ93" s="40" t="s">
        <v>250</v>
      </c>
      <c r="BA93" s="36" t="s">
        <v>253</v>
      </c>
      <c r="BC93" s="37">
        <f>AW93+AX93</f>
        <v>0</v>
      </c>
      <c r="BD93" s="37">
        <f>M93/(100-BE93)*100</f>
        <v>0</v>
      </c>
      <c r="BE93" s="37">
        <v>0</v>
      </c>
      <c r="BF93" s="37">
        <f>93</f>
        <v>93</v>
      </c>
      <c r="BH93" s="27">
        <f>L93*AO93</f>
        <v>0</v>
      </c>
      <c r="BI93" s="27">
        <f>L93*AP93</f>
        <v>0</v>
      </c>
      <c r="BJ93" s="27">
        <f>L93*M93</f>
        <v>0</v>
      </c>
      <c r="BK93" s="27" t="s">
        <v>259</v>
      </c>
      <c r="BL93" s="37" t="s">
        <v>104</v>
      </c>
    </row>
    <row r="94" spans="1:35" ht="12.75">
      <c r="A94" s="4"/>
      <c r="B94" s="15" t="s">
        <v>61</v>
      </c>
      <c r="C94" s="15"/>
      <c r="D94" s="92" t="s">
        <v>190</v>
      </c>
      <c r="E94" s="93"/>
      <c r="F94" s="93"/>
      <c r="G94" s="93"/>
      <c r="H94" s="93"/>
      <c r="I94" s="93"/>
      <c r="J94" s="93"/>
      <c r="K94" s="24" t="s">
        <v>5</v>
      </c>
      <c r="L94" s="24" t="s">
        <v>5</v>
      </c>
      <c r="M94" s="24" t="s">
        <v>5</v>
      </c>
      <c r="N94" s="43">
        <f>N95</f>
        <v>0</v>
      </c>
      <c r="O94" s="6"/>
      <c r="AI94" s="36" t="s">
        <v>61</v>
      </c>
    </row>
    <row r="95" spans="1:47" ht="12.75">
      <c r="A95" s="4"/>
      <c r="B95" s="15" t="s">
        <v>61</v>
      </c>
      <c r="C95" s="15" t="s">
        <v>110</v>
      </c>
      <c r="D95" s="92" t="s">
        <v>191</v>
      </c>
      <c r="E95" s="93"/>
      <c r="F95" s="93"/>
      <c r="G95" s="93"/>
      <c r="H95" s="93"/>
      <c r="I95" s="93"/>
      <c r="J95" s="93"/>
      <c r="K95" s="24" t="s">
        <v>5</v>
      </c>
      <c r="L95" s="24" t="s">
        <v>5</v>
      </c>
      <c r="M95" s="24" t="s">
        <v>5</v>
      </c>
      <c r="N95" s="43">
        <f>SUM(N96:N96)</f>
        <v>0</v>
      </c>
      <c r="O95" s="6"/>
      <c r="AI95" s="36" t="s">
        <v>61</v>
      </c>
      <c r="AS95" s="49">
        <f>SUM(AJ96:AJ96)</f>
        <v>0</v>
      </c>
      <c r="AT95" s="49">
        <f>SUM(AK96:AK96)</f>
        <v>0</v>
      </c>
      <c r="AU95" s="49">
        <f>SUM(AL96:AL96)</f>
        <v>0</v>
      </c>
    </row>
    <row r="96" spans="1:64" ht="12.75">
      <c r="A96" s="5" t="s">
        <v>49</v>
      </c>
      <c r="B96" s="16" t="s">
        <v>61</v>
      </c>
      <c r="C96" s="16" t="s">
        <v>111</v>
      </c>
      <c r="D96" s="86" t="s">
        <v>191</v>
      </c>
      <c r="E96" s="87"/>
      <c r="F96" s="87"/>
      <c r="G96" s="87"/>
      <c r="H96" s="87"/>
      <c r="I96" s="87"/>
      <c r="J96" s="87"/>
      <c r="K96" s="16" t="s">
        <v>220</v>
      </c>
      <c r="L96" s="74">
        <v>1</v>
      </c>
      <c r="M96" s="27">
        <v>0</v>
      </c>
      <c r="N96" s="44">
        <f>L96*M96</f>
        <v>0</v>
      </c>
      <c r="O96" s="6"/>
      <c r="Z96" s="37">
        <f>IF(AQ96="5",BJ96,0)</f>
        <v>0</v>
      </c>
      <c r="AB96" s="37">
        <f>IF(AQ96="1",BH96,0)</f>
        <v>0</v>
      </c>
      <c r="AC96" s="37">
        <f>IF(AQ96="1",BI96,0)</f>
        <v>0</v>
      </c>
      <c r="AD96" s="37">
        <f>IF(AQ96="7",BH96,0)</f>
        <v>0</v>
      </c>
      <c r="AE96" s="37">
        <f>IF(AQ96="7",BI96,0)</f>
        <v>0</v>
      </c>
      <c r="AF96" s="37">
        <f>IF(AQ96="2",BH96,0)</f>
        <v>0</v>
      </c>
      <c r="AG96" s="37">
        <f>IF(AQ96="2",BI96,0)</f>
        <v>0</v>
      </c>
      <c r="AH96" s="37">
        <f>IF(AQ96="0",BJ96,0)</f>
        <v>0</v>
      </c>
      <c r="AI96" s="36" t="s">
        <v>61</v>
      </c>
      <c r="AJ96" s="27">
        <f>IF(AN96=0,N96,0)</f>
        <v>0</v>
      </c>
      <c r="AK96" s="27">
        <f>IF(AN96=15,N96,0)</f>
        <v>0</v>
      </c>
      <c r="AL96" s="27">
        <f>IF(AN96=21,N96,0)</f>
        <v>0</v>
      </c>
      <c r="AN96" s="37">
        <v>21</v>
      </c>
      <c r="AO96" s="37">
        <f>M96*0</f>
        <v>0</v>
      </c>
      <c r="AP96" s="37">
        <f>M96*(1-0)</f>
        <v>0</v>
      </c>
      <c r="AQ96" s="38" t="s">
        <v>237</v>
      </c>
      <c r="AV96" s="37">
        <f>AW96+AX96</f>
        <v>0</v>
      </c>
      <c r="AW96" s="37">
        <f>L96*AO96</f>
        <v>0</v>
      </c>
      <c r="AX96" s="37">
        <f>L96*AP96</f>
        <v>0</v>
      </c>
      <c r="AY96" s="40" t="s">
        <v>244</v>
      </c>
      <c r="AZ96" s="40" t="s">
        <v>251</v>
      </c>
      <c r="BA96" s="36" t="s">
        <v>253</v>
      </c>
      <c r="BC96" s="37">
        <f>AW96+AX96</f>
        <v>0</v>
      </c>
      <c r="BD96" s="37">
        <f>M96/(100-BE96)*100</f>
        <v>0</v>
      </c>
      <c r="BE96" s="37">
        <v>0</v>
      </c>
      <c r="BF96" s="37">
        <f>96</f>
        <v>96</v>
      </c>
      <c r="BH96" s="27">
        <f>L96*AO96</f>
        <v>0</v>
      </c>
      <c r="BI96" s="27">
        <f>L96*AP96</f>
        <v>0</v>
      </c>
      <c r="BJ96" s="27">
        <f>L96*M96</f>
        <v>0</v>
      </c>
      <c r="BK96" s="27" t="s">
        <v>259</v>
      </c>
      <c r="BL96" s="37" t="s">
        <v>110</v>
      </c>
    </row>
    <row r="97" spans="1:15" ht="12.75">
      <c r="A97" s="8"/>
      <c r="B97" s="18" t="s">
        <v>62</v>
      </c>
      <c r="C97" s="18"/>
      <c r="D97" s="90" t="s">
        <v>192</v>
      </c>
      <c r="E97" s="91"/>
      <c r="F97" s="91"/>
      <c r="G97" s="91"/>
      <c r="H97" s="91"/>
      <c r="I97" s="91"/>
      <c r="J97" s="91"/>
      <c r="K97" s="25" t="s">
        <v>5</v>
      </c>
      <c r="L97" s="25" t="s">
        <v>5</v>
      </c>
      <c r="M97" s="25" t="s">
        <v>5</v>
      </c>
      <c r="N97" s="46">
        <f>N98</f>
        <v>0</v>
      </c>
      <c r="O97" s="6"/>
    </row>
    <row r="98" spans="1:47" ht="12.75">
      <c r="A98" s="4"/>
      <c r="B98" s="15" t="s">
        <v>62</v>
      </c>
      <c r="C98" s="15" t="s">
        <v>112</v>
      </c>
      <c r="D98" s="92" t="s">
        <v>193</v>
      </c>
      <c r="E98" s="93"/>
      <c r="F98" s="93"/>
      <c r="G98" s="93"/>
      <c r="H98" s="93"/>
      <c r="I98" s="93"/>
      <c r="J98" s="93"/>
      <c r="K98" s="24" t="s">
        <v>5</v>
      </c>
      <c r="L98" s="24" t="s">
        <v>5</v>
      </c>
      <c r="M98" s="24" t="s">
        <v>5</v>
      </c>
      <c r="N98" s="43">
        <f>SUM(N99:N107)</f>
        <v>0</v>
      </c>
      <c r="O98" s="6"/>
      <c r="AI98" s="36" t="s">
        <v>62</v>
      </c>
      <c r="AS98" s="49">
        <f>SUM(AJ99:AJ107)</f>
        <v>0</v>
      </c>
      <c r="AT98" s="49">
        <f>SUM(AK99:AK107)</f>
        <v>0</v>
      </c>
      <c r="AU98" s="49">
        <f>SUM(AL99:AL107)</f>
        <v>0</v>
      </c>
    </row>
    <row r="99" spans="1:64" ht="48" customHeight="1">
      <c r="A99" s="5" t="s">
        <v>50</v>
      </c>
      <c r="B99" s="16" t="s">
        <v>62</v>
      </c>
      <c r="C99" s="16" t="s">
        <v>113</v>
      </c>
      <c r="D99" s="84" t="s">
        <v>315</v>
      </c>
      <c r="E99" s="85"/>
      <c r="F99" s="85"/>
      <c r="G99" s="85"/>
      <c r="H99" s="85"/>
      <c r="I99" s="85"/>
      <c r="J99" s="85"/>
      <c r="K99" s="16" t="s">
        <v>221</v>
      </c>
      <c r="L99" s="74">
        <v>1</v>
      </c>
      <c r="M99" s="27">
        <v>0</v>
      </c>
      <c r="N99" s="44">
        <f aca="true" t="shared" si="0" ref="N99:N107">L99*M99</f>
        <v>0</v>
      </c>
      <c r="O99" s="6"/>
      <c r="Z99" s="37">
        <f aca="true" t="shared" si="1" ref="Z99:Z107">IF(AQ99="5",BJ99,0)</f>
        <v>0</v>
      </c>
      <c r="AB99" s="37">
        <f aca="true" t="shared" si="2" ref="AB99:AB107">IF(AQ99="1",BH99,0)</f>
        <v>0</v>
      </c>
      <c r="AC99" s="37">
        <f aca="true" t="shared" si="3" ref="AC99:AC107">IF(AQ99="1",BI99,0)</f>
        <v>0</v>
      </c>
      <c r="AD99" s="37">
        <f aca="true" t="shared" si="4" ref="AD99:AD107">IF(AQ99="7",BH99,0)</f>
        <v>0</v>
      </c>
      <c r="AE99" s="37">
        <f aca="true" t="shared" si="5" ref="AE99:AE107">IF(AQ99="7",BI99,0)</f>
        <v>0</v>
      </c>
      <c r="AF99" s="37">
        <f aca="true" t="shared" si="6" ref="AF99:AF107">IF(AQ99="2",BH99,0)</f>
        <v>0</v>
      </c>
      <c r="AG99" s="37">
        <f aca="true" t="shared" si="7" ref="AG99:AG107">IF(AQ99="2",BI99,0)</f>
        <v>0</v>
      </c>
      <c r="AH99" s="37">
        <f aca="true" t="shared" si="8" ref="AH99:AH107">IF(AQ99="0",BJ99,0)</f>
        <v>0</v>
      </c>
      <c r="AI99" s="36" t="s">
        <v>62</v>
      </c>
      <c r="AJ99" s="27">
        <f aca="true" t="shared" si="9" ref="AJ99:AJ107">IF(AN99=0,N99,0)</f>
        <v>0</v>
      </c>
      <c r="AK99" s="27">
        <f aca="true" t="shared" si="10" ref="AK99:AK107">IF(AN99=15,N99,0)</f>
        <v>0</v>
      </c>
      <c r="AL99" s="27">
        <f aca="true" t="shared" si="11" ref="AL99:AL107">IF(AN99=21,N99,0)</f>
        <v>0</v>
      </c>
      <c r="AN99" s="37">
        <v>21</v>
      </c>
      <c r="AO99" s="37">
        <f aca="true" t="shared" si="12" ref="AO99:AO107">M99*0</f>
        <v>0</v>
      </c>
      <c r="AP99" s="37">
        <f aca="true" t="shared" si="13" ref="AP99:AP107">M99*(1-0)</f>
        <v>0</v>
      </c>
      <c r="AQ99" s="38" t="s">
        <v>12</v>
      </c>
      <c r="AV99" s="37">
        <f aca="true" t="shared" si="14" ref="AV99:AV107">AW99+AX99</f>
        <v>0</v>
      </c>
      <c r="AW99" s="37">
        <f aca="true" t="shared" si="15" ref="AW99:AW107">L99*AO99</f>
        <v>0</v>
      </c>
      <c r="AX99" s="37">
        <f aca="true" t="shared" si="16" ref="AX99:AX107">L99*AP99</f>
        <v>0</v>
      </c>
      <c r="AY99" s="40" t="s">
        <v>245</v>
      </c>
      <c r="AZ99" s="40" t="s">
        <v>252</v>
      </c>
      <c r="BA99" s="36" t="s">
        <v>254</v>
      </c>
      <c r="BC99" s="37">
        <f aca="true" t="shared" si="17" ref="BC99:BC107">AW99+AX99</f>
        <v>0</v>
      </c>
      <c r="BD99" s="37">
        <f aca="true" t="shared" si="18" ref="BD99:BD107">M99/(100-BE99)*100</f>
        <v>0</v>
      </c>
      <c r="BE99" s="37">
        <v>0</v>
      </c>
      <c r="BF99" s="37">
        <f>99</f>
        <v>99</v>
      </c>
      <c r="BH99" s="27">
        <f aca="true" t="shared" si="19" ref="BH99:BH107">L99*AO99</f>
        <v>0</v>
      </c>
      <c r="BI99" s="27">
        <f aca="true" t="shared" si="20" ref="BI99:BI107">L99*AP99</f>
        <v>0</v>
      </c>
      <c r="BJ99" s="27">
        <f aca="true" t="shared" si="21" ref="BJ99:BJ107">L99*M99</f>
        <v>0</v>
      </c>
      <c r="BK99" s="27" t="s">
        <v>259</v>
      </c>
      <c r="BL99" s="37">
        <v>767</v>
      </c>
    </row>
    <row r="100" spans="1:64" ht="37.5" customHeight="1">
      <c r="A100" s="5" t="s">
        <v>51</v>
      </c>
      <c r="B100" s="16" t="s">
        <v>62</v>
      </c>
      <c r="C100" s="16" t="s">
        <v>114</v>
      </c>
      <c r="D100" s="84" t="s">
        <v>316</v>
      </c>
      <c r="E100" s="94"/>
      <c r="F100" s="94"/>
      <c r="G100" s="94"/>
      <c r="H100" s="94"/>
      <c r="I100" s="94"/>
      <c r="J100" s="94"/>
      <c r="K100" s="16" t="s">
        <v>222</v>
      </c>
      <c r="L100" s="74">
        <v>1</v>
      </c>
      <c r="M100" s="27">
        <v>0</v>
      </c>
      <c r="N100" s="44">
        <f t="shared" si="0"/>
        <v>0</v>
      </c>
      <c r="O100" s="6"/>
      <c r="Z100" s="37">
        <f t="shared" si="1"/>
        <v>0</v>
      </c>
      <c r="AB100" s="37">
        <f t="shared" si="2"/>
        <v>0</v>
      </c>
      <c r="AC100" s="37">
        <f t="shared" si="3"/>
        <v>0</v>
      </c>
      <c r="AD100" s="37">
        <f t="shared" si="4"/>
        <v>0</v>
      </c>
      <c r="AE100" s="37">
        <f t="shared" si="5"/>
        <v>0</v>
      </c>
      <c r="AF100" s="37">
        <f t="shared" si="6"/>
        <v>0</v>
      </c>
      <c r="AG100" s="37">
        <f t="shared" si="7"/>
        <v>0</v>
      </c>
      <c r="AH100" s="37">
        <f t="shared" si="8"/>
        <v>0</v>
      </c>
      <c r="AI100" s="36" t="s">
        <v>62</v>
      </c>
      <c r="AJ100" s="27">
        <f t="shared" si="9"/>
        <v>0</v>
      </c>
      <c r="AK100" s="27">
        <f t="shared" si="10"/>
        <v>0</v>
      </c>
      <c r="AL100" s="27">
        <f t="shared" si="11"/>
        <v>0</v>
      </c>
      <c r="AN100" s="37">
        <v>21</v>
      </c>
      <c r="AO100" s="37">
        <f t="shared" si="12"/>
        <v>0</v>
      </c>
      <c r="AP100" s="37">
        <f t="shared" si="13"/>
        <v>0</v>
      </c>
      <c r="AQ100" s="38" t="s">
        <v>12</v>
      </c>
      <c r="AV100" s="37">
        <f t="shared" si="14"/>
        <v>0</v>
      </c>
      <c r="AW100" s="37">
        <f t="shared" si="15"/>
        <v>0</v>
      </c>
      <c r="AX100" s="37">
        <f t="shared" si="16"/>
        <v>0</v>
      </c>
      <c r="AY100" s="40" t="s">
        <v>245</v>
      </c>
      <c r="AZ100" s="40" t="s">
        <v>252</v>
      </c>
      <c r="BA100" s="36" t="s">
        <v>254</v>
      </c>
      <c r="BC100" s="37">
        <f t="shared" si="17"/>
        <v>0</v>
      </c>
      <c r="BD100" s="37">
        <f t="shared" si="18"/>
        <v>0</v>
      </c>
      <c r="BE100" s="37">
        <v>0</v>
      </c>
      <c r="BF100" s="37">
        <f>100</f>
        <v>100</v>
      </c>
      <c r="BH100" s="27">
        <f t="shared" si="19"/>
        <v>0</v>
      </c>
      <c r="BI100" s="27">
        <f t="shared" si="20"/>
        <v>0</v>
      </c>
      <c r="BJ100" s="27">
        <f t="shared" si="21"/>
        <v>0</v>
      </c>
      <c r="BK100" s="27" t="s">
        <v>259</v>
      </c>
      <c r="BL100" s="37">
        <v>767</v>
      </c>
    </row>
    <row r="101" spans="1:64" ht="50.25" customHeight="1">
      <c r="A101" s="5" t="s">
        <v>52</v>
      </c>
      <c r="B101" s="16" t="s">
        <v>62</v>
      </c>
      <c r="C101" s="16" t="s">
        <v>115</v>
      </c>
      <c r="D101" s="84" t="s">
        <v>317</v>
      </c>
      <c r="E101" s="85"/>
      <c r="F101" s="85"/>
      <c r="G101" s="85"/>
      <c r="H101" s="85"/>
      <c r="I101" s="85"/>
      <c r="J101" s="85"/>
      <c r="K101" s="16" t="s">
        <v>221</v>
      </c>
      <c r="L101" s="74">
        <v>1</v>
      </c>
      <c r="M101" s="27">
        <v>0</v>
      </c>
      <c r="N101" s="44">
        <f t="shared" si="0"/>
        <v>0</v>
      </c>
      <c r="O101" s="6"/>
      <c r="Z101" s="37">
        <f t="shared" si="1"/>
        <v>0</v>
      </c>
      <c r="AB101" s="37">
        <f t="shared" si="2"/>
        <v>0</v>
      </c>
      <c r="AC101" s="37">
        <f t="shared" si="3"/>
        <v>0</v>
      </c>
      <c r="AD101" s="37">
        <f t="shared" si="4"/>
        <v>0</v>
      </c>
      <c r="AE101" s="37">
        <f t="shared" si="5"/>
        <v>0</v>
      </c>
      <c r="AF101" s="37">
        <f t="shared" si="6"/>
        <v>0</v>
      </c>
      <c r="AG101" s="37">
        <f t="shared" si="7"/>
        <v>0</v>
      </c>
      <c r="AH101" s="37">
        <f t="shared" si="8"/>
        <v>0</v>
      </c>
      <c r="AI101" s="36" t="s">
        <v>62</v>
      </c>
      <c r="AJ101" s="27">
        <f t="shared" si="9"/>
        <v>0</v>
      </c>
      <c r="AK101" s="27">
        <f t="shared" si="10"/>
        <v>0</v>
      </c>
      <c r="AL101" s="27">
        <f t="shared" si="11"/>
        <v>0</v>
      </c>
      <c r="AN101" s="37">
        <v>21</v>
      </c>
      <c r="AO101" s="37">
        <f t="shared" si="12"/>
        <v>0</v>
      </c>
      <c r="AP101" s="37">
        <f t="shared" si="13"/>
        <v>0</v>
      </c>
      <c r="AQ101" s="38" t="s">
        <v>12</v>
      </c>
      <c r="AV101" s="37">
        <f t="shared" si="14"/>
        <v>0</v>
      </c>
      <c r="AW101" s="37">
        <f t="shared" si="15"/>
        <v>0</v>
      </c>
      <c r="AX101" s="37">
        <f t="shared" si="16"/>
        <v>0</v>
      </c>
      <c r="AY101" s="40" t="s">
        <v>245</v>
      </c>
      <c r="AZ101" s="40" t="s">
        <v>252</v>
      </c>
      <c r="BA101" s="36" t="s">
        <v>254</v>
      </c>
      <c r="BC101" s="37">
        <f t="shared" si="17"/>
        <v>0</v>
      </c>
      <c r="BD101" s="37">
        <f t="shared" si="18"/>
        <v>0</v>
      </c>
      <c r="BE101" s="37">
        <v>0</v>
      </c>
      <c r="BF101" s="37">
        <f>101</f>
        <v>101</v>
      </c>
      <c r="BH101" s="27">
        <f t="shared" si="19"/>
        <v>0</v>
      </c>
      <c r="BI101" s="27">
        <f t="shared" si="20"/>
        <v>0</v>
      </c>
      <c r="BJ101" s="27">
        <f t="shared" si="21"/>
        <v>0</v>
      </c>
      <c r="BK101" s="27" t="s">
        <v>259</v>
      </c>
      <c r="BL101" s="37">
        <v>767</v>
      </c>
    </row>
    <row r="102" spans="1:64" ht="45" customHeight="1">
      <c r="A102" s="5" t="s">
        <v>53</v>
      </c>
      <c r="B102" s="16" t="s">
        <v>62</v>
      </c>
      <c r="C102" s="16" t="s">
        <v>116</v>
      </c>
      <c r="D102" s="84" t="s">
        <v>318</v>
      </c>
      <c r="E102" s="85"/>
      <c r="F102" s="85"/>
      <c r="G102" s="85"/>
      <c r="H102" s="85"/>
      <c r="I102" s="85"/>
      <c r="J102" s="85"/>
      <c r="K102" s="16" t="s">
        <v>221</v>
      </c>
      <c r="L102" s="74">
        <v>2</v>
      </c>
      <c r="M102" s="27">
        <v>0</v>
      </c>
      <c r="N102" s="44">
        <f t="shared" si="0"/>
        <v>0</v>
      </c>
      <c r="O102" s="6"/>
      <c r="Z102" s="37">
        <f t="shared" si="1"/>
        <v>0</v>
      </c>
      <c r="AB102" s="37">
        <f t="shared" si="2"/>
        <v>0</v>
      </c>
      <c r="AC102" s="37">
        <f t="shared" si="3"/>
        <v>0</v>
      </c>
      <c r="AD102" s="37">
        <f t="shared" si="4"/>
        <v>0</v>
      </c>
      <c r="AE102" s="37">
        <f t="shared" si="5"/>
        <v>0</v>
      </c>
      <c r="AF102" s="37">
        <f t="shared" si="6"/>
        <v>0</v>
      </c>
      <c r="AG102" s="37">
        <f t="shared" si="7"/>
        <v>0</v>
      </c>
      <c r="AH102" s="37">
        <f t="shared" si="8"/>
        <v>0</v>
      </c>
      <c r="AI102" s="36" t="s">
        <v>62</v>
      </c>
      <c r="AJ102" s="27">
        <f t="shared" si="9"/>
        <v>0</v>
      </c>
      <c r="AK102" s="27">
        <f t="shared" si="10"/>
        <v>0</v>
      </c>
      <c r="AL102" s="27">
        <f t="shared" si="11"/>
        <v>0</v>
      </c>
      <c r="AN102" s="37">
        <v>21</v>
      </c>
      <c r="AO102" s="37">
        <f t="shared" si="12"/>
        <v>0</v>
      </c>
      <c r="AP102" s="37">
        <f t="shared" si="13"/>
        <v>0</v>
      </c>
      <c r="AQ102" s="38" t="s">
        <v>12</v>
      </c>
      <c r="AV102" s="37">
        <f t="shared" si="14"/>
        <v>0</v>
      </c>
      <c r="AW102" s="37">
        <f t="shared" si="15"/>
        <v>0</v>
      </c>
      <c r="AX102" s="37">
        <f t="shared" si="16"/>
        <v>0</v>
      </c>
      <c r="AY102" s="40" t="s">
        <v>245</v>
      </c>
      <c r="AZ102" s="40" t="s">
        <v>252</v>
      </c>
      <c r="BA102" s="36" t="s">
        <v>254</v>
      </c>
      <c r="BC102" s="37">
        <f t="shared" si="17"/>
        <v>0</v>
      </c>
      <c r="BD102" s="37">
        <f t="shared" si="18"/>
        <v>0</v>
      </c>
      <c r="BE102" s="37">
        <v>0</v>
      </c>
      <c r="BF102" s="37">
        <f>102</f>
        <v>102</v>
      </c>
      <c r="BH102" s="27">
        <f t="shared" si="19"/>
        <v>0</v>
      </c>
      <c r="BI102" s="27">
        <f t="shared" si="20"/>
        <v>0</v>
      </c>
      <c r="BJ102" s="27">
        <f t="shared" si="21"/>
        <v>0</v>
      </c>
      <c r="BK102" s="27" t="s">
        <v>259</v>
      </c>
      <c r="BL102" s="37">
        <v>767</v>
      </c>
    </row>
    <row r="103" spans="1:64" ht="36" customHeight="1">
      <c r="A103" s="5" t="s">
        <v>54</v>
      </c>
      <c r="B103" s="16" t="s">
        <v>62</v>
      </c>
      <c r="C103" s="16" t="s">
        <v>117</v>
      </c>
      <c r="D103" s="84" t="s">
        <v>319</v>
      </c>
      <c r="E103" s="85"/>
      <c r="F103" s="85"/>
      <c r="G103" s="85"/>
      <c r="H103" s="85"/>
      <c r="I103" s="85"/>
      <c r="J103" s="85"/>
      <c r="K103" s="16" t="s">
        <v>221</v>
      </c>
      <c r="L103" s="74">
        <v>1</v>
      </c>
      <c r="M103" s="27">
        <v>0</v>
      </c>
      <c r="N103" s="44">
        <f t="shared" si="0"/>
        <v>0</v>
      </c>
      <c r="O103" s="6"/>
      <c r="Z103" s="37">
        <f t="shared" si="1"/>
        <v>0</v>
      </c>
      <c r="AB103" s="37">
        <f t="shared" si="2"/>
        <v>0</v>
      </c>
      <c r="AC103" s="37">
        <f t="shared" si="3"/>
        <v>0</v>
      </c>
      <c r="AD103" s="37">
        <f t="shared" si="4"/>
        <v>0</v>
      </c>
      <c r="AE103" s="37">
        <f t="shared" si="5"/>
        <v>0</v>
      </c>
      <c r="AF103" s="37">
        <f t="shared" si="6"/>
        <v>0</v>
      </c>
      <c r="AG103" s="37">
        <f t="shared" si="7"/>
        <v>0</v>
      </c>
      <c r="AH103" s="37">
        <f t="shared" si="8"/>
        <v>0</v>
      </c>
      <c r="AI103" s="36" t="s">
        <v>62</v>
      </c>
      <c r="AJ103" s="27">
        <f t="shared" si="9"/>
        <v>0</v>
      </c>
      <c r="AK103" s="27">
        <f t="shared" si="10"/>
        <v>0</v>
      </c>
      <c r="AL103" s="27">
        <f t="shared" si="11"/>
        <v>0</v>
      </c>
      <c r="AN103" s="37">
        <v>21</v>
      </c>
      <c r="AO103" s="37">
        <f t="shared" si="12"/>
        <v>0</v>
      </c>
      <c r="AP103" s="37">
        <f t="shared" si="13"/>
        <v>0</v>
      </c>
      <c r="AQ103" s="38" t="s">
        <v>12</v>
      </c>
      <c r="AV103" s="37">
        <f t="shared" si="14"/>
        <v>0</v>
      </c>
      <c r="AW103" s="37">
        <f t="shared" si="15"/>
        <v>0</v>
      </c>
      <c r="AX103" s="37">
        <f t="shared" si="16"/>
        <v>0</v>
      </c>
      <c r="AY103" s="40" t="s">
        <v>245</v>
      </c>
      <c r="AZ103" s="40" t="s">
        <v>252</v>
      </c>
      <c r="BA103" s="36" t="s">
        <v>254</v>
      </c>
      <c r="BC103" s="37">
        <f t="shared" si="17"/>
        <v>0</v>
      </c>
      <c r="BD103" s="37">
        <f t="shared" si="18"/>
        <v>0</v>
      </c>
      <c r="BE103" s="37">
        <v>0</v>
      </c>
      <c r="BF103" s="37">
        <f>103</f>
        <v>103</v>
      </c>
      <c r="BH103" s="27">
        <f t="shared" si="19"/>
        <v>0</v>
      </c>
      <c r="BI103" s="27">
        <f t="shared" si="20"/>
        <v>0</v>
      </c>
      <c r="BJ103" s="27">
        <f t="shared" si="21"/>
        <v>0</v>
      </c>
      <c r="BK103" s="27" t="s">
        <v>259</v>
      </c>
      <c r="BL103" s="37">
        <v>767</v>
      </c>
    </row>
    <row r="104" spans="1:64" ht="50.25" customHeight="1">
      <c r="A104" s="5" t="s">
        <v>55</v>
      </c>
      <c r="B104" s="16" t="s">
        <v>62</v>
      </c>
      <c r="C104" s="16" t="s">
        <v>118</v>
      </c>
      <c r="D104" s="84" t="s">
        <v>320</v>
      </c>
      <c r="E104" s="85"/>
      <c r="F104" s="85"/>
      <c r="G104" s="85"/>
      <c r="H104" s="85"/>
      <c r="I104" s="85"/>
      <c r="J104" s="85"/>
      <c r="K104" s="16" t="s">
        <v>221</v>
      </c>
      <c r="L104" s="74">
        <v>1</v>
      </c>
      <c r="M104" s="27">
        <v>0</v>
      </c>
      <c r="N104" s="44">
        <f t="shared" si="0"/>
        <v>0</v>
      </c>
      <c r="O104" s="6"/>
      <c r="Z104" s="37">
        <f t="shared" si="1"/>
        <v>0</v>
      </c>
      <c r="AB104" s="37">
        <f t="shared" si="2"/>
        <v>0</v>
      </c>
      <c r="AC104" s="37">
        <f t="shared" si="3"/>
        <v>0</v>
      </c>
      <c r="AD104" s="37">
        <f t="shared" si="4"/>
        <v>0</v>
      </c>
      <c r="AE104" s="37">
        <f t="shared" si="5"/>
        <v>0</v>
      </c>
      <c r="AF104" s="37">
        <f t="shared" si="6"/>
        <v>0</v>
      </c>
      <c r="AG104" s="37">
        <f t="shared" si="7"/>
        <v>0</v>
      </c>
      <c r="AH104" s="37">
        <f t="shared" si="8"/>
        <v>0</v>
      </c>
      <c r="AI104" s="36" t="s">
        <v>62</v>
      </c>
      <c r="AJ104" s="27">
        <f t="shared" si="9"/>
        <v>0</v>
      </c>
      <c r="AK104" s="27">
        <f t="shared" si="10"/>
        <v>0</v>
      </c>
      <c r="AL104" s="27">
        <f t="shared" si="11"/>
        <v>0</v>
      </c>
      <c r="AN104" s="37">
        <v>21</v>
      </c>
      <c r="AO104" s="37">
        <f t="shared" si="12"/>
        <v>0</v>
      </c>
      <c r="AP104" s="37">
        <f t="shared" si="13"/>
        <v>0</v>
      </c>
      <c r="AQ104" s="38" t="s">
        <v>12</v>
      </c>
      <c r="AV104" s="37">
        <f t="shared" si="14"/>
        <v>0</v>
      </c>
      <c r="AW104" s="37">
        <f t="shared" si="15"/>
        <v>0</v>
      </c>
      <c r="AX104" s="37">
        <f t="shared" si="16"/>
        <v>0</v>
      </c>
      <c r="AY104" s="40" t="s">
        <v>245</v>
      </c>
      <c r="AZ104" s="40" t="s">
        <v>252</v>
      </c>
      <c r="BA104" s="36" t="s">
        <v>254</v>
      </c>
      <c r="BC104" s="37">
        <f t="shared" si="17"/>
        <v>0</v>
      </c>
      <c r="BD104" s="37">
        <f t="shared" si="18"/>
        <v>0</v>
      </c>
      <c r="BE104" s="37">
        <v>0</v>
      </c>
      <c r="BF104" s="37">
        <f>104</f>
        <v>104</v>
      </c>
      <c r="BH104" s="27">
        <f t="shared" si="19"/>
        <v>0</v>
      </c>
      <c r="BI104" s="27">
        <f t="shared" si="20"/>
        <v>0</v>
      </c>
      <c r="BJ104" s="27">
        <f t="shared" si="21"/>
        <v>0</v>
      </c>
      <c r="BK104" s="27" t="s">
        <v>259</v>
      </c>
      <c r="BL104" s="37">
        <v>767</v>
      </c>
    </row>
    <row r="105" spans="1:64" ht="12.75">
      <c r="A105" s="5" t="s">
        <v>56</v>
      </c>
      <c r="B105" s="16" t="s">
        <v>62</v>
      </c>
      <c r="C105" s="16" t="s">
        <v>119</v>
      </c>
      <c r="D105" s="86" t="s">
        <v>194</v>
      </c>
      <c r="E105" s="87"/>
      <c r="F105" s="87"/>
      <c r="G105" s="87"/>
      <c r="H105" s="87"/>
      <c r="I105" s="87"/>
      <c r="J105" s="87"/>
      <c r="K105" s="16" t="s">
        <v>221</v>
      </c>
      <c r="L105" s="74">
        <v>1</v>
      </c>
      <c r="M105" s="27">
        <v>0</v>
      </c>
      <c r="N105" s="44">
        <f t="shared" si="0"/>
        <v>0</v>
      </c>
      <c r="O105" s="6"/>
      <c r="Z105" s="37">
        <f t="shared" si="1"/>
        <v>0</v>
      </c>
      <c r="AB105" s="37">
        <f t="shared" si="2"/>
        <v>0</v>
      </c>
      <c r="AC105" s="37">
        <f t="shared" si="3"/>
        <v>0</v>
      </c>
      <c r="AD105" s="37">
        <f t="shared" si="4"/>
        <v>0</v>
      </c>
      <c r="AE105" s="37">
        <f t="shared" si="5"/>
        <v>0</v>
      </c>
      <c r="AF105" s="37">
        <f t="shared" si="6"/>
        <v>0</v>
      </c>
      <c r="AG105" s="37">
        <f t="shared" si="7"/>
        <v>0</v>
      </c>
      <c r="AH105" s="37">
        <f t="shared" si="8"/>
        <v>0</v>
      </c>
      <c r="AI105" s="36" t="s">
        <v>62</v>
      </c>
      <c r="AJ105" s="27">
        <f t="shared" si="9"/>
        <v>0</v>
      </c>
      <c r="AK105" s="27">
        <f t="shared" si="10"/>
        <v>0</v>
      </c>
      <c r="AL105" s="27">
        <f t="shared" si="11"/>
        <v>0</v>
      </c>
      <c r="AN105" s="37">
        <v>21</v>
      </c>
      <c r="AO105" s="37">
        <f t="shared" si="12"/>
        <v>0</v>
      </c>
      <c r="AP105" s="37">
        <f t="shared" si="13"/>
        <v>0</v>
      </c>
      <c r="AQ105" s="38" t="s">
        <v>12</v>
      </c>
      <c r="AV105" s="37">
        <f t="shared" si="14"/>
        <v>0</v>
      </c>
      <c r="AW105" s="37">
        <f t="shared" si="15"/>
        <v>0</v>
      </c>
      <c r="AX105" s="37">
        <f t="shared" si="16"/>
        <v>0</v>
      </c>
      <c r="AY105" s="40" t="s">
        <v>245</v>
      </c>
      <c r="AZ105" s="40" t="s">
        <v>252</v>
      </c>
      <c r="BA105" s="36" t="s">
        <v>254</v>
      </c>
      <c r="BC105" s="37">
        <f t="shared" si="17"/>
        <v>0</v>
      </c>
      <c r="BD105" s="37">
        <f t="shared" si="18"/>
        <v>0</v>
      </c>
      <c r="BE105" s="37">
        <v>0</v>
      </c>
      <c r="BF105" s="37">
        <f>105</f>
        <v>105</v>
      </c>
      <c r="BH105" s="27">
        <f t="shared" si="19"/>
        <v>0</v>
      </c>
      <c r="BI105" s="27">
        <f t="shared" si="20"/>
        <v>0</v>
      </c>
      <c r="BJ105" s="27">
        <f t="shared" si="21"/>
        <v>0</v>
      </c>
      <c r="BK105" s="27" t="s">
        <v>259</v>
      </c>
      <c r="BL105" s="37">
        <v>767</v>
      </c>
    </row>
    <row r="106" spans="1:64" ht="12.75">
      <c r="A106" s="5" t="s">
        <v>57</v>
      </c>
      <c r="B106" s="16" t="s">
        <v>62</v>
      </c>
      <c r="C106" s="16" t="s">
        <v>120</v>
      </c>
      <c r="D106" s="86" t="s">
        <v>195</v>
      </c>
      <c r="E106" s="87"/>
      <c r="F106" s="87"/>
      <c r="G106" s="87"/>
      <c r="H106" s="87"/>
      <c r="I106" s="87"/>
      <c r="J106" s="87"/>
      <c r="K106" s="16" t="s">
        <v>222</v>
      </c>
      <c r="L106" s="74">
        <v>1</v>
      </c>
      <c r="M106" s="27">
        <v>0</v>
      </c>
      <c r="N106" s="44">
        <f t="shared" si="0"/>
        <v>0</v>
      </c>
      <c r="O106" s="6"/>
      <c r="Z106" s="37">
        <f t="shared" si="1"/>
        <v>0</v>
      </c>
      <c r="AB106" s="37">
        <f t="shared" si="2"/>
        <v>0</v>
      </c>
      <c r="AC106" s="37">
        <f t="shared" si="3"/>
        <v>0</v>
      </c>
      <c r="AD106" s="37">
        <f t="shared" si="4"/>
        <v>0</v>
      </c>
      <c r="AE106" s="37">
        <f t="shared" si="5"/>
        <v>0</v>
      </c>
      <c r="AF106" s="37">
        <f t="shared" si="6"/>
        <v>0</v>
      </c>
      <c r="AG106" s="37">
        <f t="shared" si="7"/>
        <v>0</v>
      </c>
      <c r="AH106" s="37">
        <f t="shared" si="8"/>
        <v>0</v>
      </c>
      <c r="AI106" s="36" t="s">
        <v>62</v>
      </c>
      <c r="AJ106" s="27">
        <f t="shared" si="9"/>
        <v>0</v>
      </c>
      <c r="AK106" s="27">
        <f t="shared" si="10"/>
        <v>0</v>
      </c>
      <c r="AL106" s="27">
        <f t="shared" si="11"/>
        <v>0</v>
      </c>
      <c r="AN106" s="37">
        <v>21</v>
      </c>
      <c r="AO106" s="37">
        <f t="shared" si="12"/>
        <v>0</v>
      </c>
      <c r="AP106" s="37">
        <f t="shared" si="13"/>
        <v>0</v>
      </c>
      <c r="AQ106" s="38" t="s">
        <v>12</v>
      </c>
      <c r="AV106" s="37">
        <f t="shared" si="14"/>
        <v>0</v>
      </c>
      <c r="AW106" s="37">
        <f t="shared" si="15"/>
        <v>0</v>
      </c>
      <c r="AX106" s="37">
        <f t="shared" si="16"/>
        <v>0</v>
      </c>
      <c r="AY106" s="40" t="s">
        <v>245</v>
      </c>
      <c r="AZ106" s="40" t="s">
        <v>252</v>
      </c>
      <c r="BA106" s="36" t="s">
        <v>254</v>
      </c>
      <c r="BC106" s="37">
        <f t="shared" si="17"/>
        <v>0</v>
      </c>
      <c r="BD106" s="37">
        <f t="shared" si="18"/>
        <v>0</v>
      </c>
      <c r="BE106" s="37">
        <v>0</v>
      </c>
      <c r="BF106" s="37">
        <f>106</f>
        <v>106</v>
      </c>
      <c r="BH106" s="27">
        <f t="shared" si="19"/>
        <v>0</v>
      </c>
      <c r="BI106" s="27">
        <f t="shared" si="20"/>
        <v>0</v>
      </c>
      <c r="BJ106" s="27">
        <f t="shared" si="21"/>
        <v>0</v>
      </c>
      <c r="BK106" s="27" t="s">
        <v>259</v>
      </c>
      <c r="BL106" s="37">
        <v>767</v>
      </c>
    </row>
    <row r="107" spans="1:64" ht="12.75">
      <c r="A107" s="9" t="s">
        <v>58</v>
      </c>
      <c r="B107" s="19" t="s">
        <v>62</v>
      </c>
      <c r="C107" s="19" t="s">
        <v>121</v>
      </c>
      <c r="D107" s="88" t="s">
        <v>196</v>
      </c>
      <c r="E107" s="89"/>
      <c r="F107" s="89"/>
      <c r="G107" s="89"/>
      <c r="H107" s="89"/>
      <c r="I107" s="89"/>
      <c r="J107" s="89"/>
      <c r="K107" s="19" t="s">
        <v>222</v>
      </c>
      <c r="L107" s="77">
        <v>1</v>
      </c>
      <c r="M107" s="29">
        <v>0</v>
      </c>
      <c r="N107" s="47">
        <f t="shared" si="0"/>
        <v>0</v>
      </c>
      <c r="O107" s="6"/>
      <c r="Z107" s="37">
        <f t="shared" si="1"/>
        <v>0</v>
      </c>
      <c r="AB107" s="37">
        <f t="shared" si="2"/>
        <v>0</v>
      </c>
      <c r="AC107" s="37">
        <f t="shared" si="3"/>
        <v>0</v>
      </c>
      <c r="AD107" s="37">
        <f t="shared" si="4"/>
        <v>0</v>
      </c>
      <c r="AE107" s="37">
        <f t="shared" si="5"/>
        <v>0</v>
      </c>
      <c r="AF107" s="37">
        <f t="shared" si="6"/>
        <v>0</v>
      </c>
      <c r="AG107" s="37">
        <f t="shared" si="7"/>
        <v>0</v>
      </c>
      <c r="AH107" s="37">
        <f t="shared" si="8"/>
        <v>0</v>
      </c>
      <c r="AI107" s="36" t="s">
        <v>62</v>
      </c>
      <c r="AJ107" s="27">
        <f t="shared" si="9"/>
        <v>0</v>
      </c>
      <c r="AK107" s="27">
        <f t="shared" si="10"/>
        <v>0</v>
      </c>
      <c r="AL107" s="27">
        <f t="shared" si="11"/>
        <v>0</v>
      </c>
      <c r="AN107" s="37">
        <v>21</v>
      </c>
      <c r="AO107" s="37">
        <f t="shared" si="12"/>
        <v>0</v>
      </c>
      <c r="AP107" s="37">
        <f t="shared" si="13"/>
        <v>0</v>
      </c>
      <c r="AQ107" s="38" t="s">
        <v>12</v>
      </c>
      <c r="AV107" s="37">
        <f t="shared" si="14"/>
        <v>0</v>
      </c>
      <c r="AW107" s="37">
        <f t="shared" si="15"/>
        <v>0</v>
      </c>
      <c r="AX107" s="37">
        <f t="shared" si="16"/>
        <v>0</v>
      </c>
      <c r="AY107" s="40" t="s">
        <v>245</v>
      </c>
      <c r="AZ107" s="40" t="s">
        <v>252</v>
      </c>
      <c r="BA107" s="36" t="s">
        <v>254</v>
      </c>
      <c r="BC107" s="37">
        <f t="shared" si="17"/>
        <v>0</v>
      </c>
      <c r="BD107" s="37">
        <f t="shared" si="18"/>
        <v>0</v>
      </c>
      <c r="BE107" s="37">
        <v>0</v>
      </c>
      <c r="BF107" s="37">
        <f>107</f>
        <v>107</v>
      </c>
      <c r="BH107" s="27">
        <f t="shared" si="19"/>
        <v>0</v>
      </c>
      <c r="BI107" s="27">
        <f t="shared" si="20"/>
        <v>0</v>
      </c>
      <c r="BJ107" s="27">
        <f t="shared" si="21"/>
        <v>0</v>
      </c>
      <c r="BK107" s="27" t="s">
        <v>259</v>
      </c>
      <c r="BL107" s="37">
        <v>767</v>
      </c>
    </row>
    <row r="108" spans="1:14" ht="12.75">
      <c r="A108" s="10"/>
      <c r="B108" s="10"/>
      <c r="C108" s="10"/>
      <c r="D108" s="10"/>
      <c r="E108" s="10"/>
      <c r="F108" s="10"/>
      <c r="G108" s="10"/>
      <c r="H108" s="10"/>
      <c r="I108" s="10"/>
      <c r="J108" s="10"/>
      <c r="K108" s="10"/>
      <c r="L108" s="10"/>
      <c r="M108" s="10"/>
      <c r="N108" s="48">
        <f>N13+N50+N67+N78+N80+N87+N95+N98</f>
        <v>0</v>
      </c>
    </row>
    <row r="109" ht="11.25" customHeight="1">
      <c r="A109" s="11" t="s">
        <v>59</v>
      </c>
    </row>
    <row r="110" spans="1:14" ht="12.75">
      <c r="A110" s="82"/>
      <c r="B110" s="83"/>
      <c r="C110" s="83"/>
      <c r="D110" s="83"/>
      <c r="E110" s="83"/>
      <c r="F110" s="83"/>
      <c r="G110" s="83"/>
      <c r="H110" s="83"/>
      <c r="I110" s="83"/>
      <c r="J110" s="83"/>
      <c r="K110" s="83"/>
      <c r="L110" s="83"/>
      <c r="M110" s="83"/>
      <c r="N110" s="83"/>
    </row>
  </sheetData>
  <sheetProtection/>
  <mergeCells count="92">
    <mergeCell ref="A1:N1"/>
    <mergeCell ref="A2:C3"/>
    <mergeCell ref="D2:E3"/>
    <mergeCell ref="F2:G3"/>
    <mergeCell ref="H2:H3"/>
    <mergeCell ref="I2:I3"/>
    <mergeCell ref="J2:N3"/>
    <mergeCell ref="A4:C5"/>
    <mergeCell ref="D4:E5"/>
    <mergeCell ref="F4:G5"/>
    <mergeCell ref="H4:H5"/>
    <mergeCell ref="I4:I5"/>
    <mergeCell ref="J4:N5"/>
    <mergeCell ref="A6:C7"/>
    <mergeCell ref="D6:E7"/>
    <mergeCell ref="F6:G7"/>
    <mergeCell ref="H6:H7"/>
    <mergeCell ref="I6:I7"/>
    <mergeCell ref="J6:N7"/>
    <mergeCell ref="A8:C9"/>
    <mergeCell ref="D8:E9"/>
    <mergeCell ref="F8:G9"/>
    <mergeCell ref="H8:H9"/>
    <mergeCell ref="I8:I9"/>
    <mergeCell ref="J8:N9"/>
    <mergeCell ref="D10:J10"/>
    <mergeCell ref="D11:J11"/>
    <mergeCell ref="D12:J12"/>
    <mergeCell ref="D13:J13"/>
    <mergeCell ref="D14:J14"/>
    <mergeCell ref="D16:J16"/>
    <mergeCell ref="D18:J18"/>
    <mergeCell ref="D20:J20"/>
    <mergeCell ref="D22:J22"/>
    <mergeCell ref="D25:J25"/>
    <mergeCell ref="D28:J28"/>
    <mergeCell ref="D30:J30"/>
    <mergeCell ref="D32:J32"/>
    <mergeCell ref="D36:J36"/>
    <mergeCell ref="D38:J38"/>
    <mergeCell ref="D40:J40"/>
    <mergeCell ref="D42:J42"/>
    <mergeCell ref="D44:J44"/>
    <mergeCell ref="D45:J45"/>
    <mergeCell ref="D46:J46"/>
    <mergeCell ref="D47:J47"/>
    <mergeCell ref="D49:J49"/>
    <mergeCell ref="D50:J50"/>
    <mergeCell ref="D51:J51"/>
    <mergeCell ref="D52:J52"/>
    <mergeCell ref="D55:J55"/>
    <mergeCell ref="D58:J58"/>
    <mergeCell ref="D61:J61"/>
    <mergeCell ref="D62:J62"/>
    <mergeCell ref="D64:J64"/>
    <mergeCell ref="D66:J66"/>
    <mergeCell ref="D67:J67"/>
    <mergeCell ref="D68:J68"/>
    <mergeCell ref="D70:J70"/>
    <mergeCell ref="D72:J72"/>
    <mergeCell ref="D73:J73"/>
    <mergeCell ref="D74:J74"/>
    <mergeCell ref="D76:J76"/>
    <mergeCell ref="D78:J78"/>
    <mergeCell ref="D79:J79"/>
    <mergeCell ref="D80:J80"/>
    <mergeCell ref="D81:J81"/>
    <mergeCell ref="D82:J82"/>
    <mergeCell ref="D83:J83"/>
    <mergeCell ref="D85:J85"/>
    <mergeCell ref="D86:J86"/>
    <mergeCell ref="D87:J87"/>
    <mergeCell ref="D88:J88"/>
    <mergeCell ref="D89:J89"/>
    <mergeCell ref="D91:J91"/>
    <mergeCell ref="D92:J92"/>
    <mergeCell ref="D93:J93"/>
    <mergeCell ref="D94:J94"/>
    <mergeCell ref="D95:J95"/>
    <mergeCell ref="D96:J96"/>
    <mergeCell ref="D97:J97"/>
    <mergeCell ref="D98:J98"/>
    <mergeCell ref="D99:J99"/>
    <mergeCell ref="D100:J100"/>
    <mergeCell ref="D101:J101"/>
    <mergeCell ref="A110:N110"/>
    <mergeCell ref="D102:J102"/>
    <mergeCell ref="D103:J103"/>
    <mergeCell ref="D104:J104"/>
    <mergeCell ref="D105:J105"/>
    <mergeCell ref="D106:J106"/>
    <mergeCell ref="D107:J107"/>
  </mergeCells>
  <printOptions/>
  <pageMargins left="0.394" right="0.394" top="0.591" bottom="0.591" header="0.5" footer="0.5"/>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pane ySplit="11" topLeftCell="A12" activePane="bottomLeft" state="frozen"/>
      <selection pane="topLeft" activeCell="A1" sqref="A1"/>
      <selection pane="bottomLeft" activeCell="A1" sqref="A1:L1"/>
    </sheetView>
  </sheetViews>
  <sheetFormatPr defaultColWidth="11.57421875" defaultRowHeight="12.75"/>
  <cols>
    <col min="1" max="1" width="7.57421875" style="0" customWidth="1"/>
    <col min="2" max="11" width="15.7109375" style="0" customWidth="1"/>
    <col min="12" max="12" width="14.28125" style="0" customWidth="1"/>
    <col min="13" max="16" width="12.140625" style="0" hidden="1" customWidth="1"/>
  </cols>
  <sheetData>
    <row r="1" spans="1:12" ht="36.75" customHeight="1">
      <c r="A1" s="129" t="s">
        <v>262</v>
      </c>
      <c r="B1" s="130"/>
      <c r="C1" s="130"/>
      <c r="D1" s="130"/>
      <c r="E1" s="130"/>
      <c r="F1" s="130"/>
      <c r="G1" s="130"/>
      <c r="H1" s="130"/>
      <c r="I1" s="130"/>
      <c r="J1" s="130"/>
      <c r="K1" s="130"/>
      <c r="L1" s="130"/>
    </row>
    <row r="2" spans="1:13" ht="12.75">
      <c r="A2" s="114" t="s">
        <v>0</v>
      </c>
      <c r="B2" s="115"/>
      <c r="C2" s="115"/>
      <c r="D2" s="116" t="str">
        <f>'Stavební rozpočet'!D2</f>
        <v>Cyklomobiliář VOŠ a SPŠ Žďár nad Sázavou</v>
      </c>
      <c r="E2" s="117"/>
      <c r="F2" s="117"/>
      <c r="G2" s="120" t="s">
        <v>197</v>
      </c>
      <c r="H2" s="120" t="str">
        <f>'Stavební rozpočet'!H2</f>
        <v> </v>
      </c>
      <c r="I2" s="120" t="s">
        <v>201</v>
      </c>
      <c r="J2" s="120" t="str">
        <f>'Stavební rozpočet'!J2</f>
        <v>VOŠ a SPŠ Žďár nad Sázavou</v>
      </c>
      <c r="K2" s="115"/>
      <c r="L2" s="121"/>
      <c r="M2" s="6"/>
    </row>
    <row r="3" spans="1:13" ht="12.75">
      <c r="A3" s="111"/>
      <c r="B3" s="83"/>
      <c r="C3" s="83"/>
      <c r="D3" s="118"/>
      <c r="E3" s="118"/>
      <c r="F3" s="118"/>
      <c r="G3" s="83"/>
      <c r="H3" s="83"/>
      <c r="I3" s="83"/>
      <c r="J3" s="83"/>
      <c r="K3" s="83"/>
      <c r="L3" s="109"/>
      <c r="M3" s="6"/>
    </row>
    <row r="4" spans="1:13" ht="12.75">
      <c r="A4" s="105" t="s">
        <v>1</v>
      </c>
      <c r="B4" s="83"/>
      <c r="C4" s="83"/>
      <c r="D4" s="82" t="str">
        <f>'Stavební rozpočet'!D4</f>
        <v>Přístřešek na kola</v>
      </c>
      <c r="E4" s="83"/>
      <c r="F4" s="83"/>
      <c r="G4" s="82" t="s">
        <v>198</v>
      </c>
      <c r="H4" s="82">
        <f>'Stavební rozpočet'!H4</f>
        <v>0</v>
      </c>
      <c r="I4" s="82" t="s">
        <v>202</v>
      </c>
      <c r="J4" s="82" t="str">
        <f>'Stavební rozpočet'!J4</f>
        <v> </v>
      </c>
      <c r="K4" s="83"/>
      <c r="L4" s="109"/>
      <c r="M4" s="6"/>
    </row>
    <row r="5" spans="1:13" ht="12.75">
      <c r="A5" s="111"/>
      <c r="B5" s="83"/>
      <c r="C5" s="83"/>
      <c r="D5" s="83"/>
      <c r="E5" s="83"/>
      <c r="F5" s="83"/>
      <c r="G5" s="83"/>
      <c r="H5" s="83"/>
      <c r="I5" s="83"/>
      <c r="J5" s="83"/>
      <c r="K5" s="83"/>
      <c r="L5" s="109"/>
      <c r="M5" s="6"/>
    </row>
    <row r="6" spans="1:13" ht="12.75">
      <c r="A6" s="105" t="s">
        <v>2</v>
      </c>
      <c r="B6" s="83"/>
      <c r="C6" s="83"/>
      <c r="D6" s="82" t="str">
        <f>'Stavební rozpočet'!D6</f>
        <v> </v>
      </c>
      <c r="E6" s="83"/>
      <c r="F6" s="83"/>
      <c r="G6" s="82" t="s">
        <v>199</v>
      </c>
      <c r="H6" s="82" t="str">
        <f>'Stavební rozpočet'!H6</f>
        <v> </v>
      </c>
      <c r="I6" s="82" t="s">
        <v>203</v>
      </c>
      <c r="J6" s="82" t="str">
        <f>'Stavební rozpočet'!J6</f>
        <v> </v>
      </c>
      <c r="K6" s="83"/>
      <c r="L6" s="109"/>
      <c r="M6" s="6"/>
    </row>
    <row r="7" spans="1:13" ht="12.75">
      <c r="A7" s="111"/>
      <c r="B7" s="83"/>
      <c r="C7" s="83"/>
      <c r="D7" s="83"/>
      <c r="E7" s="83"/>
      <c r="F7" s="83"/>
      <c r="G7" s="83"/>
      <c r="H7" s="83"/>
      <c r="I7" s="83"/>
      <c r="J7" s="83"/>
      <c r="K7" s="83"/>
      <c r="L7" s="109"/>
      <c r="M7" s="6"/>
    </row>
    <row r="8" spans="1:13" ht="12.75">
      <c r="A8" s="105" t="s">
        <v>3</v>
      </c>
      <c r="B8" s="83"/>
      <c r="C8" s="83"/>
      <c r="D8" s="82" t="str">
        <f>'Stavební rozpočet'!D8</f>
        <v> </v>
      </c>
      <c r="E8" s="83"/>
      <c r="F8" s="83"/>
      <c r="G8" s="82" t="s">
        <v>200</v>
      </c>
      <c r="H8" s="82">
        <f>'Stavební rozpočet'!H8</f>
        <v>0</v>
      </c>
      <c r="I8" s="82" t="s">
        <v>204</v>
      </c>
      <c r="J8" s="82" t="str">
        <f>'Stavební rozpočet'!J8</f>
        <v> </v>
      </c>
      <c r="K8" s="83"/>
      <c r="L8" s="109"/>
      <c r="M8" s="6"/>
    </row>
    <row r="9" spans="1:13" ht="12.75">
      <c r="A9" s="106"/>
      <c r="B9" s="107"/>
      <c r="C9" s="107"/>
      <c r="D9" s="107"/>
      <c r="E9" s="107"/>
      <c r="F9" s="107"/>
      <c r="G9" s="107"/>
      <c r="H9" s="107"/>
      <c r="I9" s="107"/>
      <c r="J9" s="107"/>
      <c r="K9" s="107"/>
      <c r="L9" s="110"/>
      <c r="M9" s="6"/>
    </row>
    <row r="10" spans="1:13" ht="12.75">
      <c r="A10" s="50" t="s">
        <v>5</v>
      </c>
      <c r="B10" s="122" t="s">
        <v>5</v>
      </c>
      <c r="C10" s="123"/>
      <c r="D10" s="123"/>
      <c r="E10" s="123"/>
      <c r="F10" s="123"/>
      <c r="G10" s="123"/>
      <c r="H10" s="123"/>
      <c r="I10" s="123"/>
      <c r="J10" s="123"/>
      <c r="K10" s="124"/>
      <c r="L10" s="32" t="s">
        <v>226</v>
      </c>
      <c r="M10" s="35"/>
    </row>
    <row r="11" spans="1:13" ht="12.75">
      <c r="A11" s="51" t="s">
        <v>60</v>
      </c>
      <c r="B11" s="100" t="s">
        <v>123</v>
      </c>
      <c r="C11" s="101"/>
      <c r="D11" s="101"/>
      <c r="E11" s="101"/>
      <c r="F11" s="101"/>
      <c r="G11" s="101"/>
      <c r="H11" s="101"/>
      <c r="I11" s="101"/>
      <c r="J11" s="101"/>
      <c r="K11" s="102"/>
      <c r="L11" s="33" t="s">
        <v>227</v>
      </c>
      <c r="M11" s="35"/>
    </row>
    <row r="12" spans="1:16" ht="12.75">
      <c r="A12" s="52" t="s">
        <v>61</v>
      </c>
      <c r="B12" s="125" t="s">
        <v>125</v>
      </c>
      <c r="C12" s="123"/>
      <c r="D12" s="123"/>
      <c r="E12" s="123"/>
      <c r="F12" s="123"/>
      <c r="G12" s="123"/>
      <c r="H12" s="123"/>
      <c r="I12" s="123"/>
      <c r="J12" s="123"/>
      <c r="K12" s="123"/>
      <c r="L12" s="55">
        <f>'Stavební rozpočet'!N12</f>
        <v>0</v>
      </c>
      <c r="M12" s="54" t="s">
        <v>264</v>
      </c>
      <c r="N12" s="37">
        <f>IF(M12="F",0,L12)</f>
        <v>0</v>
      </c>
      <c r="O12" s="21" t="s">
        <v>61</v>
      </c>
      <c r="P12" s="37">
        <f>IF(M12="T",0,L12)</f>
        <v>0</v>
      </c>
    </row>
    <row r="13" spans="1:16" ht="12.75">
      <c r="A13" s="53" t="s">
        <v>62</v>
      </c>
      <c r="B13" s="126" t="s">
        <v>192</v>
      </c>
      <c r="C13" s="127"/>
      <c r="D13" s="127"/>
      <c r="E13" s="127"/>
      <c r="F13" s="127"/>
      <c r="G13" s="127"/>
      <c r="H13" s="127"/>
      <c r="I13" s="127"/>
      <c r="J13" s="127"/>
      <c r="K13" s="127"/>
      <c r="L13" s="56">
        <f>'Stavební rozpočet'!N97</f>
        <v>0</v>
      </c>
      <c r="M13" s="54" t="s">
        <v>264</v>
      </c>
      <c r="N13" s="37">
        <f>IF(M13="F",0,L13)</f>
        <v>0</v>
      </c>
      <c r="O13" s="21" t="s">
        <v>62</v>
      </c>
      <c r="P13" s="37">
        <f>IF(M13="T",0,L13)</f>
        <v>0</v>
      </c>
    </row>
    <row r="14" spans="1:12" ht="12.75">
      <c r="A14" s="10"/>
      <c r="B14" s="10"/>
      <c r="C14" s="10"/>
      <c r="D14" s="10"/>
      <c r="E14" s="10"/>
      <c r="F14" s="10"/>
      <c r="G14" s="10"/>
      <c r="H14" s="10"/>
      <c r="I14" s="10"/>
      <c r="J14" s="128" t="s">
        <v>263</v>
      </c>
      <c r="K14" s="117"/>
      <c r="L14" s="48">
        <f>SUM(P12:P13)</f>
        <v>0</v>
      </c>
    </row>
    <row r="15" ht="11.25" customHeight="1">
      <c r="A15" s="11" t="s">
        <v>59</v>
      </c>
    </row>
    <row r="16" spans="1:12" ht="12.75">
      <c r="A16" s="82"/>
      <c r="B16" s="83"/>
      <c r="C16" s="83"/>
      <c r="D16" s="83"/>
      <c r="E16" s="83"/>
      <c r="F16" s="83"/>
      <c r="G16" s="83"/>
      <c r="H16" s="83"/>
      <c r="I16" s="83"/>
      <c r="J16" s="83"/>
      <c r="K16" s="83"/>
      <c r="L16" s="83"/>
    </row>
  </sheetData>
  <sheetProtection/>
  <mergeCells count="31">
    <mergeCell ref="A1:L1"/>
    <mergeCell ref="A2:C3"/>
    <mergeCell ref="D2:F3"/>
    <mergeCell ref="G2:G3"/>
    <mergeCell ref="H2:H3"/>
    <mergeCell ref="I2:I3"/>
    <mergeCell ref="J2:L3"/>
    <mergeCell ref="A4:C5"/>
    <mergeCell ref="D4:F5"/>
    <mergeCell ref="G4:G5"/>
    <mergeCell ref="H4:H5"/>
    <mergeCell ref="I4:I5"/>
    <mergeCell ref="J4:L5"/>
    <mergeCell ref="A6:C7"/>
    <mergeCell ref="D6:F7"/>
    <mergeCell ref="G6:G7"/>
    <mergeCell ref="H6:H7"/>
    <mergeCell ref="I6:I7"/>
    <mergeCell ref="J6:L7"/>
    <mergeCell ref="A8:C9"/>
    <mergeCell ref="D8:F9"/>
    <mergeCell ref="G8:G9"/>
    <mergeCell ref="H8:H9"/>
    <mergeCell ref="I8:I9"/>
    <mergeCell ref="J8:L9"/>
    <mergeCell ref="B10:K10"/>
    <mergeCell ref="B11:K11"/>
    <mergeCell ref="B12:K12"/>
    <mergeCell ref="B13:K13"/>
    <mergeCell ref="J14:K14"/>
    <mergeCell ref="A16:L16"/>
  </mergeCells>
  <printOptions/>
  <pageMargins left="0.394" right="0.394" top="0.591" bottom="0.591" header="0.5" footer="0.5"/>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I10" sqref="I10:I11"/>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50.25" customHeight="1">
      <c r="A1" s="73"/>
      <c r="B1" s="57"/>
      <c r="C1" s="113" t="s">
        <v>281</v>
      </c>
      <c r="D1" s="130"/>
      <c r="E1" s="130"/>
      <c r="F1" s="130"/>
      <c r="G1" s="130"/>
      <c r="H1" s="130"/>
      <c r="I1" s="130"/>
    </row>
    <row r="2" spans="1:10" ht="12.75">
      <c r="A2" s="114" t="s">
        <v>0</v>
      </c>
      <c r="B2" s="115"/>
      <c r="C2" s="116" t="str">
        <f>'Stavební rozpočet'!D2</f>
        <v>Cyklomobiliář VOŠ a SPŠ Žďár nad Sázavou</v>
      </c>
      <c r="D2" s="117"/>
      <c r="E2" s="120" t="s">
        <v>201</v>
      </c>
      <c r="F2" s="120" t="str">
        <f>'Stavební rozpočet'!J2</f>
        <v>VOŠ a SPŠ Žďár nad Sázavou</v>
      </c>
      <c r="G2" s="115"/>
      <c r="H2" s="120" t="s">
        <v>305</v>
      </c>
      <c r="I2" s="154" t="s">
        <v>309</v>
      </c>
      <c r="J2" s="6"/>
    </row>
    <row r="3" spans="1:10" ht="12.75">
      <c r="A3" s="111"/>
      <c r="B3" s="83"/>
      <c r="C3" s="118"/>
      <c r="D3" s="118"/>
      <c r="E3" s="83"/>
      <c r="F3" s="83"/>
      <c r="G3" s="83"/>
      <c r="H3" s="83"/>
      <c r="I3" s="109"/>
      <c r="J3" s="6"/>
    </row>
    <row r="4" spans="1:10" ht="12.75">
      <c r="A4" s="105" t="s">
        <v>1</v>
      </c>
      <c r="B4" s="83"/>
      <c r="C4" s="82" t="str">
        <f>'Stavební rozpočet'!D4</f>
        <v>Přístřešek na kola</v>
      </c>
      <c r="D4" s="83"/>
      <c r="E4" s="82" t="s">
        <v>202</v>
      </c>
      <c r="F4" s="82" t="str">
        <f>'Stavební rozpočet'!J4</f>
        <v> </v>
      </c>
      <c r="G4" s="83"/>
      <c r="H4" s="82" t="s">
        <v>305</v>
      </c>
      <c r="I4" s="153"/>
      <c r="J4" s="6"/>
    </row>
    <row r="5" spans="1:10" ht="12.75">
      <c r="A5" s="111"/>
      <c r="B5" s="83"/>
      <c r="C5" s="83"/>
      <c r="D5" s="83"/>
      <c r="E5" s="83"/>
      <c r="F5" s="83"/>
      <c r="G5" s="83"/>
      <c r="H5" s="83"/>
      <c r="I5" s="109"/>
      <c r="J5" s="6"/>
    </row>
    <row r="6" spans="1:10" ht="12.75">
      <c r="A6" s="105" t="s">
        <v>2</v>
      </c>
      <c r="B6" s="83"/>
      <c r="C6" s="82" t="str">
        <f>'Stavební rozpočet'!D6</f>
        <v> </v>
      </c>
      <c r="D6" s="83"/>
      <c r="E6" s="82" t="s">
        <v>203</v>
      </c>
      <c r="F6" s="82" t="str">
        <f>'Stavební rozpočet'!J6</f>
        <v> </v>
      </c>
      <c r="G6" s="83"/>
      <c r="H6" s="82" t="s">
        <v>305</v>
      </c>
      <c r="I6" s="153"/>
      <c r="J6" s="6"/>
    </row>
    <row r="7" spans="1:10" ht="12.75">
      <c r="A7" s="111"/>
      <c r="B7" s="83"/>
      <c r="C7" s="83"/>
      <c r="D7" s="83"/>
      <c r="E7" s="83"/>
      <c r="F7" s="83"/>
      <c r="G7" s="83"/>
      <c r="H7" s="83"/>
      <c r="I7" s="109"/>
      <c r="J7" s="6"/>
    </row>
    <row r="8" spans="1:10" ht="12.75">
      <c r="A8" s="105" t="s">
        <v>198</v>
      </c>
      <c r="B8" s="83"/>
      <c r="C8" s="82">
        <f>'Stavební rozpočet'!H4</f>
        <v>0</v>
      </c>
      <c r="D8" s="83"/>
      <c r="E8" s="82" t="s">
        <v>199</v>
      </c>
      <c r="F8" s="82" t="str">
        <f>'Stavební rozpočet'!H6</f>
        <v> </v>
      </c>
      <c r="G8" s="83"/>
      <c r="H8" s="108" t="s">
        <v>306</v>
      </c>
      <c r="I8" s="153" t="s">
        <v>58</v>
      </c>
      <c r="J8" s="6"/>
    </row>
    <row r="9" spans="1:10" ht="12.75">
      <c r="A9" s="111"/>
      <c r="B9" s="83"/>
      <c r="C9" s="83"/>
      <c r="D9" s="83"/>
      <c r="E9" s="83"/>
      <c r="F9" s="83"/>
      <c r="G9" s="83"/>
      <c r="H9" s="83"/>
      <c r="I9" s="109"/>
      <c r="J9" s="6"/>
    </row>
    <row r="10" spans="1:10" ht="12.75">
      <c r="A10" s="105" t="s">
        <v>3</v>
      </c>
      <c r="B10" s="83"/>
      <c r="C10" s="82" t="str">
        <f>'Stavební rozpočet'!D8</f>
        <v> </v>
      </c>
      <c r="D10" s="83"/>
      <c r="E10" s="82" t="s">
        <v>204</v>
      </c>
      <c r="F10" s="82" t="str">
        <f>'Stavební rozpočet'!J8</f>
        <v> </v>
      </c>
      <c r="G10" s="83"/>
      <c r="H10" s="108" t="s">
        <v>307</v>
      </c>
      <c r="I10" s="151">
        <f>'Stavební rozpočet'!H8</f>
        <v>0</v>
      </c>
      <c r="J10" s="6"/>
    </row>
    <row r="11" spans="1:10" ht="12.75">
      <c r="A11" s="150"/>
      <c r="B11" s="127"/>
      <c r="C11" s="127"/>
      <c r="D11" s="127"/>
      <c r="E11" s="127"/>
      <c r="F11" s="127"/>
      <c r="G11" s="127"/>
      <c r="H11" s="127"/>
      <c r="I11" s="152"/>
      <c r="J11" s="6"/>
    </row>
    <row r="12" spans="1:9" ht="23.25" customHeight="1">
      <c r="A12" s="146" t="s">
        <v>265</v>
      </c>
      <c r="B12" s="147"/>
      <c r="C12" s="147"/>
      <c r="D12" s="147"/>
      <c r="E12" s="147"/>
      <c r="F12" s="147"/>
      <c r="G12" s="147"/>
      <c r="H12" s="147"/>
      <c r="I12" s="147"/>
    </row>
    <row r="13" spans="1:10" ht="26.25" customHeight="1">
      <c r="A13" s="58" t="s">
        <v>266</v>
      </c>
      <c r="B13" s="148" t="s">
        <v>278</v>
      </c>
      <c r="C13" s="149"/>
      <c r="D13" s="58" t="s">
        <v>282</v>
      </c>
      <c r="E13" s="148" t="s">
        <v>291</v>
      </c>
      <c r="F13" s="149"/>
      <c r="G13" s="58" t="s">
        <v>292</v>
      </c>
      <c r="H13" s="148" t="s">
        <v>308</v>
      </c>
      <c r="I13" s="149"/>
      <c r="J13" s="6"/>
    </row>
    <row r="14" spans="1:10" ht="15" customHeight="1">
      <c r="A14" s="59" t="s">
        <v>267</v>
      </c>
      <c r="B14" s="63" t="s">
        <v>279</v>
      </c>
      <c r="C14" s="67">
        <f>SUM('Stavební rozpočet'!AB12:AB107)</f>
        <v>0</v>
      </c>
      <c r="D14" s="144" t="s">
        <v>283</v>
      </c>
      <c r="E14" s="145"/>
      <c r="F14" s="67">
        <v>0</v>
      </c>
      <c r="G14" s="144" t="s">
        <v>191</v>
      </c>
      <c r="H14" s="145"/>
      <c r="I14" s="68" t="s">
        <v>310</v>
      </c>
      <c r="J14" s="6"/>
    </row>
    <row r="15" spans="1:10" ht="15" customHeight="1">
      <c r="A15" s="60"/>
      <c r="B15" s="63" t="s">
        <v>280</v>
      </c>
      <c r="C15" s="67">
        <f>SUM('Stavební rozpočet'!AC12:AC107)</f>
        <v>0</v>
      </c>
      <c r="D15" s="144" t="s">
        <v>284</v>
      </c>
      <c r="E15" s="145"/>
      <c r="F15" s="67">
        <v>0</v>
      </c>
      <c r="G15" s="144" t="s">
        <v>293</v>
      </c>
      <c r="H15" s="145"/>
      <c r="I15" s="68" t="s">
        <v>310</v>
      </c>
      <c r="J15" s="6"/>
    </row>
    <row r="16" spans="1:10" ht="15" customHeight="1">
      <c r="A16" s="59" t="s">
        <v>268</v>
      </c>
      <c r="B16" s="63" t="s">
        <v>279</v>
      </c>
      <c r="C16" s="67">
        <f>SUM('Stavební rozpočet'!AD12:AD107)</f>
        <v>0</v>
      </c>
      <c r="D16" s="144" t="s">
        <v>285</v>
      </c>
      <c r="E16" s="145"/>
      <c r="F16" s="67">
        <v>0</v>
      </c>
      <c r="G16" s="144" t="s">
        <v>294</v>
      </c>
      <c r="H16" s="145"/>
      <c r="I16" s="68" t="s">
        <v>310</v>
      </c>
      <c r="J16" s="6"/>
    </row>
    <row r="17" spans="1:10" ht="15" customHeight="1">
      <c r="A17" s="60"/>
      <c r="B17" s="63" t="s">
        <v>280</v>
      </c>
      <c r="C17" s="67">
        <f>SUM('Stavební rozpočet'!AE12:AE107)</f>
        <v>0</v>
      </c>
      <c r="D17" s="144"/>
      <c r="E17" s="145"/>
      <c r="F17" s="68"/>
      <c r="G17" s="144" t="s">
        <v>295</v>
      </c>
      <c r="H17" s="145"/>
      <c r="I17" s="68" t="s">
        <v>310</v>
      </c>
      <c r="J17" s="6"/>
    </row>
    <row r="18" spans="1:10" ht="15" customHeight="1">
      <c r="A18" s="59" t="s">
        <v>269</v>
      </c>
      <c r="B18" s="63" t="s">
        <v>279</v>
      </c>
      <c r="C18" s="67">
        <f>SUM('Stavební rozpočet'!AF12:AF107)</f>
        <v>0</v>
      </c>
      <c r="D18" s="144"/>
      <c r="E18" s="145"/>
      <c r="F18" s="68"/>
      <c r="G18" s="144" t="s">
        <v>296</v>
      </c>
      <c r="H18" s="145"/>
      <c r="I18" s="68" t="s">
        <v>310</v>
      </c>
      <c r="J18" s="6"/>
    </row>
    <row r="19" spans="1:10" ht="15" customHeight="1">
      <c r="A19" s="60"/>
      <c r="B19" s="63" t="s">
        <v>280</v>
      </c>
      <c r="C19" s="67">
        <f>SUM('Stavební rozpočet'!AG12:AG107)</f>
        <v>0</v>
      </c>
      <c r="D19" s="144"/>
      <c r="E19" s="145"/>
      <c r="F19" s="68"/>
      <c r="G19" s="144" t="s">
        <v>297</v>
      </c>
      <c r="H19" s="145"/>
      <c r="I19" s="68" t="s">
        <v>310</v>
      </c>
      <c r="J19" s="6"/>
    </row>
    <row r="20" spans="1:10" ht="15" customHeight="1">
      <c r="A20" s="142" t="s">
        <v>270</v>
      </c>
      <c r="B20" s="143"/>
      <c r="C20" s="67">
        <f>SUM('Stavební rozpočet'!AH12:AH107)</f>
        <v>0</v>
      </c>
      <c r="D20" s="144"/>
      <c r="E20" s="145"/>
      <c r="F20" s="68"/>
      <c r="G20" s="144"/>
      <c r="H20" s="145"/>
      <c r="I20" s="68"/>
      <c r="J20" s="6"/>
    </row>
    <row r="21" spans="1:10" ht="15" customHeight="1">
      <c r="A21" s="142" t="s">
        <v>271</v>
      </c>
      <c r="B21" s="143"/>
      <c r="C21" s="67">
        <f>SUM('Stavební rozpočet'!Z12:Z107)</f>
        <v>0</v>
      </c>
      <c r="D21" s="144"/>
      <c r="E21" s="145"/>
      <c r="F21" s="68"/>
      <c r="G21" s="144"/>
      <c r="H21" s="145"/>
      <c r="I21" s="68"/>
      <c r="J21" s="6"/>
    </row>
    <row r="22" spans="1:10" ht="16.5" customHeight="1">
      <c r="A22" s="142" t="s">
        <v>272</v>
      </c>
      <c r="B22" s="143"/>
      <c r="C22" s="67">
        <f>SUM(C14:C21)</f>
        <v>0</v>
      </c>
      <c r="D22" s="142" t="s">
        <v>286</v>
      </c>
      <c r="E22" s="143"/>
      <c r="F22" s="67">
        <f>SUM(F14:F21)</f>
        <v>0</v>
      </c>
      <c r="G22" s="142" t="s">
        <v>298</v>
      </c>
      <c r="H22" s="143"/>
      <c r="I22" s="67">
        <f>SUM(I14:I21)</f>
        <v>0</v>
      </c>
      <c r="J22" s="6"/>
    </row>
    <row r="23" spans="1:10" ht="15" customHeight="1">
      <c r="A23" s="10"/>
      <c r="B23" s="10"/>
      <c r="C23" s="65"/>
      <c r="D23" s="142" t="s">
        <v>287</v>
      </c>
      <c r="E23" s="143"/>
      <c r="F23" s="69">
        <v>0</v>
      </c>
      <c r="G23" s="142" t="s">
        <v>299</v>
      </c>
      <c r="H23" s="143"/>
      <c r="I23" s="67">
        <v>0</v>
      </c>
      <c r="J23" s="6"/>
    </row>
    <row r="24" spans="4:9" ht="15" customHeight="1">
      <c r="D24" s="10"/>
      <c r="E24" s="10"/>
      <c r="F24" s="70"/>
      <c r="G24" s="142" t="s">
        <v>300</v>
      </c>
      <c r="H24" s="143"/>
      <c r="I24" s="71"/>
    </row>
    <row r="25" spans="6:10" ht="15" customHeight="1">
      <c r="F25" s="34"/>
      <c r="G25" s="142" t="s">
        <v>301</v>
      </c>
      <c r="H25" s="143"/>
      <c r="I25" s="67">
        <v>0</v>
      </c>
      <c r="J25" s="6"/>
    </row>
    <row r="26" spans="1:9" ht="12.75">
      <c r="A26" s="57"/>
      <c r="B26" s="57"/>
      <c r="C26" s="57"/>
      <c r="G26" s="10"/>
      <c r="H26" s="10"/>
      <c r="I26" s="10"/>
    </row>
    <row r="27" spans="1:9" ht="15" customHeight="1">
      <c r="A27" s="137" t="s">
        <v>273</v>
      </c>
      <c r="B27" s="138"/>
      <c r="C27" s="72">
        <f>SUM('Stavební rozpočet'!AJ12:AJ107)</f>
        <v>0</v>
      </c>
      <c r="D27" s="66"/>
      <c r="E27" s="57"/>
      <c r="F27" s="57"/>
      <c r="G27" s="57"/>
      <c r="H27" s="57"/>
      <c r="I27" s="57"/>
    </row>
    <row r="28" spans="1:10" ht="15" customHeight="1">
      <c r="A28" s="137" t="s">
        <v>274</v>
      </c>
      <c r="B28" s="138"/>
      <c r="C28" s="72">
        <f>SUM('Stavební rozpočet'!AK12:AK107)</f>
        <v>0</v>
      </c>
      <c r="D28" s="137" t="s">
        <v>288</v>
      </c>
      <c r="E28" s="138"/>
      <c r="F28" s="72">
        <f>ROUND(C28*(15/100),2)</f>
        <v>0</v>
      </c>
      <c r="G28" s="137" t="s">
        <v>302</v>
      </c>
      <c r="H28" s="138"/>
      <c r="I28" s="72">
        <f>SUM(C27:C29)</f>
        <v>0</v>
      </c>
      <c r="J28" s="6"/>
    </row>
    <row r="29" spans="1:10" ht="15" customHeight="1">
      <c r="A29" s="137" t="s">
        <v>275</v>
      </c>
      <c r="B29" s="138"/>
      <c r="C29" s="72">
        <f>SUM('Stavební rozpočet'!AL12:AL107)</f>
        <v>0</v>
      </c>
      <c r="D29" s="137" t="s">
        <v>289</v>
      </c>
      <c r="E29" s="138"/>
      <c r="F29" s="72">
        <f>ROUND(C29*(21/100),2)</f>
        <v>0</v>
      </c>
      <c r="G29" s="137" t="s">
        <v>303</v>
      </c>
      <c r="H29" s="138"/>
      <c r="I29" s="72">
        <f>SUM(F28:F29)+I28</f>
        <v>0</v>
      </c>
      <c r="J29" s="6"/>
    </row>
    <row r="30" spans="1:9" ht="12.75">
      <c r="A30" s="61"/>
      <c r="B30" s="61"/>
      <c r="C30" s="61"/>
      <c r="D30" s="61"/>
      <c r="E30" s="61"/>
      <c r="F30" s="61"/>
      <c r="G30" s="61"/>
      <c r="H30" s="61"/>
      <c r="I30" s="61"/>
    </row>
    <row r="31" spans="1:10" ht="14.25" customHeight="1">
      <c r="A31" s="139" t="s">
        <v>276</v>
      </c>
      <c r="B31" s="140"/>
      <c r="C31" s="141"/>
      <c r="D31" s="139" t="s">
        <v>290</v>
      </c>
      <c r="E31" s="140"/>
      <c r="F31" s="141"/>
      <c r="G31" s="139" t="s">
        <v>304</v>
      </c>
      <c r="H31" s="140"/>
      <c r="I31" s="141"/>
      <c r="J31" s="35"/>
    </row>
    <row r="32" spans="1:10" ht="14.25" customHeight="1">
      <c r="A32" s="131"/>
      <c r="B32" s="132"/>
      <c r="C32" s="133"/>
      <c r="D32" s="131"/>
      <c r="E32" s="132"/>
      <c r="F32" s="133"/>
      <c r="G32" s="131"/>
      <c r="H32" s="132"/>
      <c r="I32" s="133"/>
      <c r="J32" s="35"/>
    </row>
    <row r="33" spans="1:10" ht="14.25" customHeight="1">
      <c r="A33" s="131"/>
      <c r="B33" s="132"/>
      <c r="C33" s="133"/>
      <c r="D33" s="131"/>
      <c r="E33" s="132"/>
      <c r="F33" s="133"/>
      <c r="G33" s="131"/>
      <c r="H33" s="132"/>
      <c r="I33" s="133"/>
      <c r="J33" s="35"/>
    </row>
    <row r="34" spans="1:10" ht="14.25" customHeight="1">
      <c r="A34" s="131"/>
      <c r="B34" s="132"/>
      <c r="C34" s="133"/>
      <c r="D34" s="131"/>
      <c r="E34" s="132"/>
      <c r="F34" s="133"/>
      <c r="G34" s="131"/>
      <c r="H34" s="132"/>
      <c r="I34" s="133"/>
      <c r="J34" s="35"/>
    </row>
    <row r="35" spans="1:10" ht="14.25" customHeight="1">
      <c r="A35" s="134" t="s">
        <v>277</v>
      </c>
      <c r="B35" s="135"/>
      <c r="C35" s="136"/>
      <c r="D35" s="134" t="s">
        <v>277</v>
      </c>
      <c r="E35" s="135"/>
      <c r="F35" s="136"/>
      <c r="G35" s="134" t="s">
        <v>277</v>
      </c>
      <c r="H35" s="135"/>
      <c r="I35" s="136"/>
      <c r="J35" s="35"/>
    </row>
    <row r="36" spans="1:9" ht="11.25" customHeight="1">
      <c r="A36" s="62" t="s">
        <v>59</v>
      </c>
      <c r="B36" s="64"/>
      <c r="C36" s="64"/>
      <c r="D36" s="64"/>
      <c r="E36" s="64"/>
      <c r="F36" s="64"/>
      <c r="G36" s="64"/>
      <c r="H36" s="64"/>
      <c r="I36" s="64"/>
    </row>
    <row r="37" spans="1:9" ht="12.75">
      <c r="A37" s="82"/>
      <c r="B37" s="83"/>
      <c r="C37" s="83"/>
      <c r="D37" s="83"/>
      <c r="E37" s="83"/>
      <c r="F37" s="83"/>
      <c r="G37" s="83"/>
      <c r="H37" s="83"/>
      <c r="I37" s="83"/>
    </row>
  </sheetData>
  <sheetProtection/>
  <mergeCells count="83">
    <mergeCell ref="C1:I1"/>
    <mergeCell ref="A2:B3"/>
    <mergeCell ref="C2:D3"/>
    <mergeCell ref="E2:E3"/>
    <mergeCell ref="F2:G3"/>
    <mergeCell ref="H2:H3"/>
    <mergeCell ref="I2:I3"/>
    <mergeCell ref="A4:B5"/>
    <mergeCell ref="C4:D5"/>
    <mergeCell ref="E4:E5"/>
    <mergeCell ref="F4:G5"/>
    <mergeCell ref="H4:H5"/>
    <mergeCell ref="I4:I5"/>
    <mergeCell ref="A6:B7"/>
    <mergeCell ref="C6:D7"/>
    <mergeCell ref="E6:E7"/>
    <mergeCell ref="F6:G7"/>
    <mergeCell ref="H6:H7"/>
    <mergeCell ref="I6:I7"/>
    <mergeCell ref="A8:B9"/>
    <mergeCell ref="C8:D9"/>
    <mergeCell ref="E8:E9"/>
    <mergeCell ref="F8:G9"/>
    <mergeCell ref="H8:H9"/>
    <mergeCell ref="I8:I9"/>
    <mergeCell ref="A10:B11"/>
    <mergeCell ref="C10:D11"/>
    <mergeCell ref="E10:E11"/>
    <mergeCell ref="F10:G11"/>
    <mergeCell ref="H10:H11"/>
    <mergeCell ref="I10:I11"/>
    <mergeCell ref="A12:I12"/>
    <mergeCell ref="B13:C13"/>
    <mergeCell ref="E13:F13"/>
    <mergeCell ref="H13:I13"/>
    <mergeCell ref="D14:E14"/>
    <mergeCell ref="G14:H14"/>
    <mergeCell ref="D15:E15"/>
    <mergeCell ref="G15:H15"/>
    <mergeCell ref="D16:E16"/>
    <mergeCell ref="G16:H16"/>
    <mergeCell ref="D17:E17"/>
    <mergeCell ref="G17:H17"/>
    <mergeCell ref="D18:E18"/>
    <mergeCell ref="G18:H18"/>
    <mergeCell ref="D19:E19"/>
    <mergeCell ref="G19:H19"/>
    <mergeCell ref="A20:B20"/>
    <mergeCell ref="D20:E20"/>
    <mergeCell ref="G20:H20"/>
    <mergeCell ref="A21:B21"/>
    <mergeCell ref="D21:E21"/>
    <mergeCell ref="G21:H21"/>
    <mergeCell ref="A22:B22"/>
    <mergeCell ref="D22:E22"/>
    <mergeCell ref="G22:H22"/>
    <mergeCell ref="D23:E23"/>
    <mergeCell ref="G23:H23"/>
    <mergeCell ref="G24:H24"/>
    <mergeCell ref="G25:H25"/>
    <mergeCell ref="A27:B27"/>
    <mergeCell ref="A28:B28"/>
    <mergeCell ref="D28:E28"/>
    <mergeCell ref="G28:H28"/>
    <mergeCell ref="A29:B29"/>
    <mergeCell ref="D29:E29"/>
    <mergeCell ref="G29:H29"/>
    <mergeCell ref="A31:C31"/>
    <mergeCell ref="D31:F31"/>
    <mergeCell ref="G31:I31"/>
    <mergeCell ref="A32:C32"/>
    <mergeCell ref="D32:F32"/>
    <mergeCell ref="G32:I32"/>
    <mergeCell ref="A33:C33"/>
    <mergeCell ref="D33:F33"/>
    <mergeCell ref="G33:I33"/>
    <mergeCell ref="A37:I37"/>
    <mergeCell ref="A34:C34"/>
    <mergeCell ref="D34:F34"/>
    <mergeCell ref="G34:I34"/>
    <mergeCell ref="A35:C35"/>
    <mergeCell ref="D35:F35"/>
    <mergeCell ref="G35:I35"/>
  </mergeCells>
  <printOptions/>
  <pageMargins left="0.394" right="0.394" top="0.591" bottom="0.591"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Rabasová Iveta</cp:lastModifiedBy>
  <dcterms:modified xsi:type="dcterms:W3CDTF">2022-06-10T06:15:38Z</dcterms:modified>
  <cp:category/>
  <cp:version/>
  <cp:contentType/>
  <cp:contentStatus/>
</cp:coreProperties>
</file>